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F:\FISCAL_SCS\"/>
    </mc:Choice>
  </mc:AlternateContent>
  <xr:revisionPtr revIDLastSave="0" documentId="13_ncr:1_{A715C45E-20EF-4299-B173-13B5D140D450}" xr6:coauthVersionLast="47" xr6:coauthVersionMax="47" xr10:uidLastSave="{00000000-0000-0000-0000-000000000000}"/>
  <bookViews>
    <workbookView xWindow="-120" yWindow="-120" windowWidth="29040" windowHeight="15720" activeTab="4" xr2:uid="{75BF1BCF-DAD3-410A-BE6E-2A3FF5FEE6CA}"/>
  </bookViews>
  <sheets>
    <sheet name="Saldo CUCA" sheetId="2" r:id="rId1"/>
    <sheet name="ActualizacionCUCA" sheetId="1" r:id="rId2"/>
    <sheet name="Saldo CUFIN" sheetId="3" r:id="rId3"/>
    <sheet name="Saldo Perdidas" sheetId="6" r:id="rId4"/>
    <sheet name="Perdidas" sheetId="4" r:id="rId5"/>
    <sheet name="IVA a favor" sheetId="5" r:id="rId6"/>
    <sheet name="Depreciaciones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2" i="7" l="1"/>
  <c r="O72" i="7"/>
  <c r="P72" i="7" s="1"/>
  <c r="O71" i="7"/>
  <c r="O70" i="7"/>
  <c r="O69" i="7"/>
  <c r="O68" i="7"/>
  <c r="O61" i="7"/>
  <c r="O57" i="7"/>
  <c r="O47" i="7"/>
  <c r="O60" i="7"/>
  <c r="O59" i="7"/>
  <c r="O58" i="7"/>
  <c r="O50" i="7"/>
  <c r="O49" i="7"/>
  <c r="O48" i="7"/>
  <c r="O40" i="7"/>
  <c r="O39" i="7"/>
  <c r="O38" i="7"/>
  <c r="O37" i="7"/>
  <c r="O30" i="7"/>
  <c r="O29" i="7"/>
  <c r="O28" i="7"/>
  <c r="O27" i="7"/>
  <c r="O20" i="7"/>
  <c r="O19" i="7"/>
  <c r="O18" i="7"/>
  <c r="O17" i="7"/>
  <c r="O10" i="7"/>
  <c r="O9" i="7"/>
  <c r="O8" i="7"/>
  <c r="O7" i="7"/>
  <c r="O6" i="7"/>
  <c r="T12" i="7"/>
  <c r="S12" i="7"/>
  <c r="G68" i="7"/>
  <c r="M65" i="7"/>
  <c r="H65" i="7"/>
  <c r="I65" i="7" s="1"/>
  <c r="I69" i="7" s="1"/>
  <c r="G57" i="7"/>
  <c r="M54" i="7"/>
  <c r="H54" i="7"/>
  <c r="I54" i="7" s="1"/>
  <c r="I61" i="7" s="1"/>
  <c r="S11" i="7"/>
  <c r="S10" i="7"/>
  <c r="S9" i="7"/>
  <c r="P69" i="7" l="1"/>
  <c r="P61" i="7"/>
  <c r="I70" i="7"/>
  <c r="P70" i="7" s="1"/>
  <c r="I71" i="7"/>
  <c r="P71" i="7" s="1"/>
  <c r="I60" i="7"/>
  <c r="P60" i="7" s="1"/>
  <c r="I72" i="7"/>
  <c r="I59" i="7"/>
  <c r="P59" i="7" s="1"/>
  <c r="I68" i="7"/>
  <c r="P68" i="7" s="1"/>
  <c r="I57" i="7"/>
  <c r="J57" i="7" s="1"/>
  <c r="G58" i="7" s="1"/>
  <c r="I58" i="7"/>
  <c r="P58" i="7" s="1"/>
  <c r="I42" i="4"/>
  <c r="J42" i="4" s="1"/>
  <c r="D42" i="4"/>
  <c r="C42" i="4"/>
  <c r="I41" i="4"/>
  <c r="J41" i="4" s="1"/>
  <c r="N40" i="4"/>
  <c r="K6" i="1"/>
  <c r="K8" i="3"/>
  <c r="O33" i="3"/>
  <c r="L29" i="3" s="1"/>
  <c r="K30" i="3" s="1"/>
  <c r="O30" i="3"/>
  <c r="O31" i="3" s="1"/>
  <c r="O20" i="3"/>
  <c r="O21" i="3" s="1"/>
  <c r="L19" i="3" s="1"/>
  <c r="K20" i="3" s="1"/>
  <c r="O8" i="3"/>
  <c r="L7" i="3"/>
  <c r="M44" i="7"/>
  <c r="H44" i="7"/>
  <c r="I44" i="7" s="1"/>
  <c r="I50" i="7" s="1"/>
  <c r="G47" i="7"/>
  <c r="M34" i="7"/>
  <c r="M24" i="7"/>
  <c r="M14" i="7"/>
  <c r="M3" i="7"/>
  <c r="G37" i="7"/>
  <c r="H34" i="7"/>
  <c r="I34" i="7" s="1"/>
  <c r="I40" i="7" s="1"/>
  <c r="E24" i="7"/>
  <c r="P40" i="7" l="1"/>
  <c r="P57" i="7"/>
  <c r="J68" i="7"/>
  <c r="G69" i="7" s="1"/>
  <c r="J69" i="7" s="1"/>
  <c r="G70" i="7" s="1"/>
  <c r="J70" i="7" s="1"/>
  <c r="G71" i="7" s="1"/>
  <c r="J71" i="7" s="1"/>
  <c r="G72" i="7" s="1"/>
  <c r="J72" i="7" s="1"/>
  <c r="J58" i="7"/>
  <c r="G59" i="7" s="1"/>
  <c r="J59" i="7" s="1"/>
  <c r="G60" i="7" s="1"/>
  <c r="J60" i="7" s="1"/>
  <c r="G61" i="7" s="1"/>
  <c r="J61" i="7" s="1"/>
  <c r="K41" i="4"/>
  <c r="L41" i="4" s="1"/>
  <c r="N41" i="4" s="1"/>
  <c r="P50" i="7"/>
  <c r="I47" i="7"/>
  <c r="P47" i="7" s="1"/>
  <c r="I48" i="7"/>
  <c r="P48" i="7" s="1"/>
  <c r="I49" i="7"/>
  <c r="P49" i="7" s="1"/>
  <c r="I37" i="7"/>
  <c r="P37" i="7" s="1"/>
  <c r="I39" i="7"/>
  <c r="P39" i="7" s="1"/>
  <c r="I38" i="7"/>
  <c r="P38" i="7" s="1"/>
  <c r="K42" i="4" l="1"/>
  <c r="L42" i="4" s="1"/>
  <c r="N42" i="4" s="1"/>
  <c r="J47" i="7"/>
  <c r="G48" i="7" s="1"/>
  <c r="J48" i="7" s="1"/>
  <c r="G49" i="7" s="1"/>
  <c r="J49" i="7" s="1"/>
  <c r="G50" i="7" s="1"/>
  <c r="J50" i="7" s="1"/>
  <c r="J37" i="7"/>
  <c r="G38" i="7" s="1"/>
  <c r="J38" i="7" s="1"/>
  <c r="G39" i="7" s="1"/>
  <c r="J39" i="7" s="1"/>
  <c r="G40" i="7" s="1"/>
  <c r="J40" i="7" s="1"/>
  <c r="H22" i="5" l="1"/>
  <c r="G27" i="7" l="1"/>
  <c r="H24" i="7"/>
  <c r="I24" i="7" s="1"/>
  <c r="N31" i="4"/>
  <c r="I30" i="7" l="1"/>
  <c r="P30" i="7" s="1"/>
  <c r="I28" i="7"/>
  <c r="P28" i="7" s="1"/>
  <c r="I27" i="7"/>
  <c r="P27" i="7" s="1"/>
  <c r="I29" i="7"/>
  <c r="P29" i="7" s="1"/>
  <c r="E31" i="3"/>
  <c r="I31" i="3" s="1"/>
  <c r="J31" i="3" s="1"/>
  <c r="D31" i="3"/>
  <c r="C31" i="3"/>
  <c r="I30" i="3"/>
  <c r="J30" i="3" s="1"/>
  <c r="I20" i="3"/>
  <c r="J20" i="3" s="1"/>
  <c r="J27" i="7" l="1"/>
  <c r="G28" i="7" s="1"/>
  <c r="J28" i="7" s="1"/>
  <c r="G29" i="7" s="1"/>
  <c r="J29" i="7" s="1"/>
  <c r="G30" i="7" s="1"/>
  <c r="J30" i="7" s="1"/>
  <c r="L30" i="3"/>
  <c r="K31" i="3" s="1"/>
  <c r="E22" i="3"/>
  <c r="I22" i="3" s="1"/>
  <c r="J22" i="3" s="1"/>
  <c r="D22" i="3"/>
  <c r="C22" i="3"/>
  <c r="E21" i="3"/>
  <c r="I21" i="3" s="1"/>
  <c r="J21" i="3" s="1"/>
  <c r="D21" i="3"/>
  <c r="C21" i="3"/>
  <c r="L31" i="3" l="1"/>
  <c r="H21" i="5"/>
  <c r="N35" i="5"/>
  <c r="H20" i="5"/>
  <c r="L20" i="3" l="1"/>
  <c r="K21" i="3" s="1"/>
  <c r="H35" i="5"/>
  <c r="I28" i="5"/>
  <c r="I29" i="5"/>
  <c r="I30" i="5"/>
  <c r="H19" i="5"/>
  <c r="H18" i="5"/>
  <c r="L21" i="3" l="1"/>
  <c r="K22" i="3" s="1"/>
  <c r="I22" i="5"/>
  <c r="I23" i="5"/>
  <c r="I24" i="5"/>
  <c r="I25" i="5"/>
  <c r="L22" i="3" l="1"/>
  <c r="H17" i="5"/>
  <c r="H16" i="5"/>
  <c r="H15" i="5"/>
  <c r="H14" i="5"/>
  <c r="H13" i="5"/>
  <c r="H12" i="5"/>
  <c r="H11" i="5"/>
  <c r="H10" i="5"/>
  <c r="H9" i="5"/>
  <c r="H8" i="5"/>
  <c r="H7" i="5"/>
  <c r="H6" i="5"/>
  <c r="I16" i="5" l="1"/>
  <c r="I17" i="5"/>
  <c r="I18" i="5"/>
  <c r="I19" i="5"/>
  <c r="I20" i="5"/>
  <c r="I21" i="5"/>
  <c r="I26" i="5"/>
  <c r="I27" i="5"/>
  <c r="I33" i="5"/>
  <c r="I32" i="5"/>
  <c r="I31" i="5"/>
  <c r="I15" i="5"/>
  <c r="I14" i="5"/>
  <c r="I13" i="5"/>
  <c r="I12" i="5"/>
  <c r="I11" i="5"/>
  <c r="I10" i="5"/>
  <c r="I9" i="5"/>
  <c r="I8" i="5"/>
  <c r="I7" i="5"/>
  <c r="G6" i="7" l="1"/>
  <c r="G17" i="7"/>
  <c r="H14" i="7"/>
  <c r="I14" i="7" s="1"/>
  <c r="I20" i="7" l="1"/>
  <c r="I17" i="7"/>
  <c r="I19" i="7"/>
  <c r="I18" i="7"/>
  <c r="P18" i="7" s="1"/>
  <c r="H3" i="7"/>
  <c r="I3" i="7" s="1"/>
  <c r="I9" i="7" l="1"/>
  <c r="I10" i="7"/>
  <c r="I7" i="7"/>
  <c r="I8" i="7"/>
  <c r="J17" i="7"/>
  <c r="G18" i="7" s="1"/>
  <c r="P17" i="7"/>
  <c r="P20" i="7"/>
  <c r="P19" i="7"/>
  <c r="P9" i="7"/>
  <c r="I6" i="7"/>
  <c r="T9" i="7" s="1"/>
  <c r="P7" i="7" l="1"/>
  <c r="U10" i="7" s="1"/>
  <c r="T10" i="7"/>
  <c r="P8" i="7"/>
  <c r="U11" i="7" s="1"/>
  <c r="T11" i="7"/>
  <c r="J18" i="7"/>
  <c r="G19" i="7" s="1"/>
  <c r="J19" i="7" s="1"/>
  <c r="G20" i="7" s="1"/>
  <c r="J20" i="7" s="1"/>
  <c r="J6" i="7"/>
  <c r="G7" i="7" s="1"/>
  <c r="J7" i="7" s="1"/>
  <c r="G8" i="7" s="1"/>
  <c r="J8" i="7" s="1"/>
  <c r="G9" i="7" s="1"/>
  <c r="J9" i="7" s="1"/>
  <c r="G10" i="7" s="1"/>
  <c r="J10" i="7" s="1"/>
  <c r="P6" i="7"/>
  <c r="U9" i="7" s="1"/>
  <c r="P10" i="7"/>
  <c r="N19" i="4"/>
  <c r="N6" i="4"/>
  <c r="G35" i="5" l="1"/>
  <c r="I6" i="5"/>
  <c r="I5" i="5"/>
  <c r="H4" i="5"/>
  <c r="I3" i="5"/>
  <c r="I35" i="5" l="1"/>
  <c r="I4" i="5"/>
  <c r="E12" i="3" l="1"/>
  <c r="I12" i="3" s="1"/>
  <c r="J12" i="3" s="1"/>
  <c r="D12" i="3"/>
  <c r="C12" i="3"/>
  <c r="E11" i="3"/>
  <c r="I11" i="3" s="1"/>
  <c r="J11" i="3" s="1"/>
  <c r="D11" i="3"/>
  <c r="C11" i="3"/>
  <c r="E10" i="3"/>
  <c r="I10" i="3" s="1"/>
  <c r="J10" i="3" s="1"/>
  <c r="D10" i="3"/>
  <c r="C10" i="3"/>
  <c r="E9" i="3"/>
  <c r="I9" i="3" s="1"/>
  <c r="J9" i="3" s="1"/>
  <c r="D9" i="3"/>
  <c r="C9" i="3"/>
  <c r="I8" i="3"/>
  <c r="J8" i="3" s="1"/>
  <c r="L8" i="3" s="1"/>
  <c r="U9" i="3" l="1"/>
  <c r="K9" i="3"/>
  <c r="L9" i="3" s="1"/>
  <c r="U10" i="3" l="1"/>
  <c r="K10" i="3"/>
  <c r="L10" i="3"/>
  <c r="U11" i="3" l="1"/>
  <c r="K11" i="3"/>
  <c r="L11" i="3"/>
  <c r="U12" i="3" l="1"/>
  <c r="K12" i="3"/>
  <c r="L12" i="3"/>
  <c r="U13" i="3" s="1"/>
  <c r="E35" i="4" l="1"/>
  <c r="I35" i="4" s="1"/>
  <c r="J35" i="4" s="1"/>
  <c r="D35" i="4"/>
  <c r="C35" i="4"/>
  <c r="E34" i="4"/>
  <c r="I34" i="4" s="1"/>
  <c r="J34" i="4" s="1"/>
  <c r="D34" i="4"/>
  <c r="C34" i="4"/>
  <c r="E33" i="4"/>
  <c r="I33" i="4" s="1"/>
  <c r="J33" i="4" s="1"/>
  <c r="D33" i="4"/>
  <c r="C33" i="4"/>
  <c r="I32" i="4"/>
  <c r="J32" i="4" s="1"/>
  <c r="E26" i="4"/>
  <c r="I26" i="4" s="1"/>
  <c r="J26" i="4" s="1"/>
  <c r="D26" i="4"/>
  <c r="C26" i="4"/>
  <c r="E25" i="4"/>
  <c r="I25" i="4" s="1"/>
  <c r="J25" i="4" s="1"/>
  <c r="D25" i="4"/>
  <c r="C25" i="4"/>
  <c r="E24" i="4"/>
  <c r="I24" i="4" s="1"/>
  <c r="J24" i="4" s="1"/>
  <c r="D24" i="4"/>
  <c r="C24" i="4"/>
  <c r="E23" i="4"/>
  <c r="I23" i="4" s="1"/>
  <c r="J23" i="4" s="1"/>
  <c r="D23" i="4"/>
  <c r="C23" i="4"/>
  <c r="E22" i="4"/>
  <c r="I22" i="4" s="1"/>
  <c r="J22" i="4" s="1"/>
  <c r="D22" i="4"/>
  <c r="C22" i="4"/>
  <c r="E21" i="4"/>
  <c r="I21" i="4" s="1"/>
  <c r="J21" i="4" s="1"/>
  <c r="D21" i="4"/>
  <c r="C21" i="4"/>
  <c r="I20" i="4"/>
  <c r="J20" i="4" s="1"/>
  <c r="E14" i="4"/>
  <c r="I14" i="4" s="1"/>
  <c r="J14" i="4" s="1"/>
  <c r="D14" i="4"/>
  <c r="C14" i="4"/>
  <c r="E13" i="4"/>
  <c r="I13" i="4" s="1"/>
  <c r="J13" i="4" s="1"/>
  <c r="D13" i="4"/>
  <c r="C13" i="4"/>
  <c r="E12" i="4"/>
  <c r="I12" i="4" s="1"/>
  <c r="J12" i="4" s="1"/>
  <c r="D12" i="4"/>
  <c r="C12" i="4"/>
  <c r="E11" i="4"/>
  <c r="I11" i="4" s="1"/>
  <c r="J11" i="4" s="1"/>
  <c r="D11" i="4"/>
  <c r="C11" i="4"/>
  <c r="E10" i="4"/>
  <c r="I10" i="4" s="1"/>
  <c r="J10" i="4" s="1"/>
  <c r="D10" i="4"/>
  <c r="C10" i="4"/>
  <c r="E9" i="4"/>
  <c r="I9" i="4" s="1"/>
  <c r="J9" i="4" s="1"/>
  <c r="D9" i="4"/>
  <c r="C9" i="4"/>
  <c r="E8" i="4"/>
  <c r="I8" i="4" s="1"/>
  <c r="J8" i="4" s="1"/>
  <c r="D8" i="4"/>
  <c r="C8" i="4"/>
  <c r="I7" i="4"/>
  <c r="J7" i="4" s="1"/>
  <c r="K7" i="4" s="1"/>
  <c r="L7" i="4" s="1"/>
  <c r="N7" i="4" s="1"/>
  <c r="C5" i="2"/>
  <c r="G5" i="2" s="1"/>
  <c r="B6" i="2" s="1"/>
  <c r="O5" i="1"/>
  <c r="E13" i="1"/>
  <c r="D13" i="1"/>
  <c r="C13" i="1"/>
  <c r="E12" i="1"/>
  <c r="I12" i="1" s="1"/>
  <c r="J12" i="1" s="1"/>
  <c r="D12" i="1"/>
  <c r="C12" i="1"/>
  <c r="E11" i="1"/>
  <c r="I11" i="1" s="1"/>
  <c r="J11" i="1" s="1"/>
  <c r="D11" i="1"/>
  <c r="C11" i="1"/>
  <c r="E10" i="1"/>
  <c r="I10" i="1" s="1"/>
  <c r="J10" i="1" s="1"/>
  <c r="D10" i="1"/>
  <c r="C10" i="1"/>
  <c r="E9" i="1"/>
  <c r="I9" i="1" s="1"/>
  <c r="J9" i="1" s="1"/>
  <c r="D9" i="1"/>
  <c r="C9" i="1"/>
  <c r="E8" i="1"/>
  <c r="I8" i="1" s="1"/>
  <c r="J8" i="1" s="1"/>
  <c r="D8" i="1"/>
  <c r="C8" i="1"/>
  <c r="E7" i="1"/>
  <c r="I7" i="1" s="1"/>
  <c r="J7" i="1" s="1"/>
  <c r="D7" i="1"/>
  <c r="C7" i="1"/>
  <c r="I13" i="1"/>
  <c r="J13" i="1" s="1"/>
  <c r="I6" i="1"/>
  <c r="J6" i="1" s="1"/>
  <c r="K8" i="4" l="1"/>
  <c r="L8" i="4" s="1"/>
  <c r="B6" i="6"/>
  <c r="B13" i="6" s="1"/>
  <c r="K32" i="4"/>
  <c r="L32" i="4" s="1"/>
  <c r="N32" i="4" s="1"/>
  <c r="K20" i="4"/>
  <c r="L20" i="4" s="1"/>
  <c r="N20" i="4" s="1"/>
  <c r="I5" i="2"/>
  <c r="L6" i="1"/>
  <c r="O6" i="1" s="1"/>
  <c r="K7" i="1" s="1"/>
  <c r="K21" i="4" l="1"/>
  <c r="C7" i="6"/>
  <c r="L21" i="4"/>
  <c r="K33" i="4"/>
  <c r="L33" i="4" s="1"/>
  <c r="N33" i="4" s="1"/>
  <c r="F8" i="6"/>
  <c r="C6" i="2"/>
  <c r="G6" i="2" s="1"/>
  <c r="N21" i="4"/>
  <c r="K22" i="4" s="1"/>
  <c r="L7" i="1"/>
  <c r="O7" i="1" s="1"/>
  <c r="K8" i="1" s="1"/>
  <c r="C7" i="2" l="1"/>
  <c r="G8" i="6"/>
  <c r="K34" i="4"/>
  <c r="L34" i="4" s="1"/>
  <c r="N34" i="4" s="1"/>
  <c r="K35" i="4" s="1"/>
  <c r="N8" i="4"/>
  <c r="K9" i="4" s="1"/>
  <c r="D7" i="6"/>
  <c r="L22" i="4"/>
  <c r="N22" i="4" s="1"/>
  <c r="K23" i="4" s="1"/>
  <c r="B7" i="2"/>
  <c r="I6" i="2"/>
  <c r="C6" i="6" l="1"/>
  <c r="C13" i="6" s="1"/>
  <c r="G7" i="2"/>
  <c r="B8" i="2" s="1"/>
  <c r="L9" i="4"/>
  <c r="N9" i="4" s="1"/>
  <c r="K10" i="4" s="1"/>
  <c r="L35" i="4"/>
  <c r="N35" i="4" s="1"/>
  <c r="I8" i="6" s="1"/>
  <c r="H8" i="6"/>
  <c r="E7" i="6"/>
  <c r="L8" i="1"/>
  <c r="O8" i="1" s="1"/>
  <c r="K9" i="1" s="1"/>
  <c r="I7" i="2" l="1"/>
  <c r="L9" i="1"/>
  <c r="O9" i="1" s="1"/>
  <c r="K10" i="1" s="1"/>
  <c r="L10" i="4"/>
  <c r="N10" i="4" s="1"/>
  <c r="K11" i="4" s="1"/>
  <c r="D6" i="6"/>
  <c r="D13" i="6" s="1"/>
  <c r="L23" i="4"/>
  <c r="C9" i="2" l="1"/>
  <c r="C8" i="2"/>
  <c r="G8" i="2" s="1"/>
  <c r="E6" i="6"/>
  <c r="E13" i="6" s="1"/>
  <c r="L11" i="4"/>
  <c r="N23" i="4"/>
  <c r="K24" i="4" l="1"/>
  <c r="L24" i="4" s="1"/>
  <c r="F7" i="6"/>
  <c r="N11" i="4"/>
  <c r="K12" i="4" s="1"/>
  <c r="B9" i="2"/>
  <c r="G9" i="2" s="1"/>
  <c r="I8" i="2"/>
  <c r="L10" i="1"/>
  <c r="O10" i="1" s="1"/>
  <c r="K11" i="1" s="1"/>
  <c r="C10" i="2" l="1"/>
  <c r="N24" i="4"/>
  <c r="K25" i="4" s="1"/>
  <c r="F6" i="6"/>
  <c r="F13" i="6" s="1"/>
  <c r="L12" i="4"/>
  <c r="B10" i="2"/>
  <c r="I9" i="2"/>
  <c r="G10" i="2" l="1"/>
  <c r="L25" i="4"/>
  <c r="N25" i="4" s="1"/>
  <c r="K26" i="4" s="1"/>
  <c r="G7" i="6"/>
  <c r="N12" i="4"/>
  <c r="K13" i="4" s="1"/>
  <c r="B11" i="2"/>
  <c r="I10" i="2"/>
  <c r="L11" i="1"/>
  <c r="O11" i="1" s="1"/>
  <c r="K12" i="1" s="1"/>
  <c r="C11" i="2" l="1"/>
  <c r="G11" i="2" s="1"/>
  <c r="L26" i="4"/>
  <c r="N26" i="4" s="1"/>
  <c r="I7" i="6" s="1"/>
  <c r="L13" i="4"/>
  <c r="H7" i="6"/>
  <c r="G6" i="6"/>
  <c r="G13" i="6" s="1"/>
  <c r="L12" i="1"/>
  <c r="O12" i="1" s="1"/>
  <c r="K13" i="1" s="1"/>
  <c r="C12" i="2" l="1"/>
  <c r="N13" i="4"/>
  <c r="K14" i="4" s="1"/>
  <c r="B12" i="2"/>
  <c r="I11" i="2"/>
  <c r="G12" i="2" l="1"/>
  <c r="I12" i="2" s="1"/>
  <c r="L14" i="4"/>
  <c r="N14" i="4" s="1"/>
  <c r="I6" i="6" s="1"/>
  <c r="I13" i="6" s="1"/>
  <c r="H6" i="6"/>
  <c r="H13" i="6" s="1"/>
  <c r="L13" i="1"/>
  <c r="O13" i="1" s="1"/>
</calcChain>
</file>

<file path=xl/sharedStrings.xml><?xml version="1.0" encoding="utf-8"?>
<sst xmlns="http://schemas.openxmlformats.org/spreadsheetml/2006/main" count="519" uniqueCount="178">
  <si>
    <t>SADCAL CONSULTORIA Y SOLUCIONES INTEGRALES, S.A. DE C.V.</t>
  </si>
  <si>
    <t>Fecha</t>
  </si>
  <si>
    <t>Concepto</t>
  </si>
  <si>
    <t>Mes anterior</t>
  </si>
  <si>
    <t>Año ant.</t>
  </si>
  <si>
    <t>INPC Mes anterior</t>
  </si>
  <si>
    <t>INPC Mes actual</t>
  </si>
  <si>
    <t>Factor Inflacionario</t>
  </si>
  <si>
    <t>Factor de actualización</t>
  </si>
  <si>
    <t>Monto Actualizado</t>
  </si>
  <si>
    <t>Aportación Capital</t>
  </si>
  <si>
    <t>Actualización</t>
  </si>
  <si>
    <t>CEDULA DE ACTUALIZACIÓN INFLACIONARIO DE CAPITAL DE APORTACIÓN</t>
  </si>
  <si>
    <t>CEDULA DE DETERMINACION DE LA CUENTA FISCAL DE CAPITAL DE APORTACION</t>
  </si>
  <si>
    <t>Ejercicio</t>
  </si>
  <si>
    <t>Saldo inicial</t>
  </si>
  <si>
    <t>Primas por suscripción</t>
  </si>
  <si>
    <t>Reducciones de capital</t>
  </si>
  <si>
    <t>Aportaciones de Capital</t>
  </si>
  <si>
    <t>Reducciones de Capital</t>
  </si>
  <si>
    <t>Saldo actualizado</t>
  </si>
  <si>
    <t>Mes actual</t>
  </si>
  <si>
    <t>Año actual</t>
  </si>
  <si>
    <t>Aumentos de capital</t>
  </si>
  <si>
    <t>Acciones</t>
  </si>
  <si>
    <t>CUCA por acción</t>
  </si>
  <si>
    <t>Actualización 2016</t>
  </si>
  <si>
    <t>Actualización 2017</t>
  </si>
  <si>
    <t>Actualización 2018</t>
  </si>
  <si>
    <t>Actualización 2019</t>
  </si>
  <si>
    <t>Actualización 2020</t>
  </si>
  <si>
    <t>Actualización 2021</t>
  </si>
  <si>
    <t>Actualización 2022</t>
  </si>
  <si>
    <t>Actualización 2023</t>
  </si>
  <si>
    <t>Importe actualización</t>
  </si>
  <si>
    <t>-</t>
  </si>
  <si>
    <t>Ejercicio 2016</t>
  </si>
  <si>
    <t>Resultado 2016</t>
  </si>
  <si>
    <t>Ejercicio 2017</t>
  </si>
  <si>
    <t>Resultado 2017</t>
  </si>
  <si>
    <t>Ejercicio 2019</t>
  </si>
  <si>
    <t>Resultado 2019</t>
  </si>
  <si>
    <t>Ejercicio 2020</t>
  </si>
  <si>
    <t>Resultdo 2020</t>
  </si>
  <si>
    <t>CUFIN</t>
  </si>
  <si>
    <t>Mes</t>
  </si>
  <si>
    <t>Fecha Decl.</t>
  </si>
  <si>
    <t>No. Operación</t>
  </si>
  <si>
    <t>Resultado IVA</t>
  </si>
  <si>
    <t>Aplicado</t>
  </si>
  <si>
    <t>Enero</t>
  </si>
  <si>
    <t>Saldo a favor</t>
  </si>
  <si>
    <t>Diciembre</t>
  </si>
  <si>
    <t>Septiembre</t>
  </si>
  <si>
    <t>Aplicaciones</t>
  </si>
  <si>
    <t>Periodo</t>
  </si>
  <si>
    <t>Importe</t>
  </si>
  <si>
    <t>Saldos a favor de IVA</t>
  </si>
  <si>
    <t>SALDOS DE PÉRDIDAS FISCALES ACTUALIZADAS</t>
  </si>
  <si>
    <t>Pérdida 2016</t>
  </si>
  <si>
    <t>Pérdida 2017</t>
  </si>
  <si>
    <t>Pérdida 2020</t>
  </si>
  <si>
    <t>Pérdida 2021</t>
  </si>
  <si>
    <t>Pérdida 2022</t>
  </si>
  <si>
    <t>Pérdida 2023</t>
  </si>
  <si>
    <t>Resultados</t>
  </si>
  <si>
    <t>Saldo actualizado por año</t>
  </si>
  <si>
    <t>Saldo anual</t>
  </si>
  <si>
    <t>Aplicación</t>
  </si>
  <si>
    <t>Saldo final</t>
  </si>
  <si>
    <t>Activo</t>
  </si>
  <si>
    <t>MOI</t>
  </si>
  <si>
    <t>Fecha adq.</t>
  </si>
  <si>
    <t>Deduc. Mensual</t>
  </si>
  <si>
    <t>Ejercicio 2021</t>
  </si>
  <si>
    <t>Saldo anterior</t>
  </si>
  <si>
    <t>Ejercicio 2022</t>
  </si>
  <si>
    <t>Deduc. Anual</t>
  </si>
  <si>
    <t>INPC Adq.</t>
  </si>
  <si>
    <t>Marzo</t>
  </si>
  <si>
    <t>580849487</t>
  </si>
  <si>
    <t>Abril</t>
  </si>
  <si>
    <t>580850262</t>
  </si>
  <si>
    <t>Mayo</t>
  </si>
  <si>
    <t>580850834</t>
  </si>
  <si>
    <t>Tipo</t>
  </si>
  <si>
    <t>Normal</t>
  </si>
  <si>
    <t>Complementaria</t>
  </si>
  <si>
    <t>Julio</t>
  </si>
  <si>
    <t>580852361</t>
  </si>
  <si>
    <t>580854085</t>
  </si>
  <si>
    <t>Octubre</t>
  </si>
  <si>
    <t>580854687</t>
  </si>
  <si>
    <t>Noviembre</t>
  </si>
  <si>
    <t>580855390</t>
  </si>
  <si>
    <t>580855864</t>
  </si>
  <si>
    <t>Junio</t>
  </si>
  <si>
    <t>580874543</t>
  </si>
  <si>
    <t>580875508</t>
  </si>
  <si>
    <t>580875829</t>
  </si>
  <si>
    <t>580877028</t>
  </si>
  <si>
    <t>580880292</t>
  </si>
  <si>
    <t>580881564</t>
  </si>
  <si>
    <t>580882348</t>
  </si>
  <si>
    <t>580882679</t>
  </si>
  <si>
    <t>Resultado 2021</t>
  </si>
  <si>
    <t>Resultado 2022</t>
  </si>
  <si>
    <t>IPHONE 14 Y ACCESORIOS</t>
  </si>
  <si>
    <t>Equipo de cómputo</t>
  </si>
  <si>
    <t>LAPTOP ASUS E1504FANJ881W R5</t>
  </si>
  <si>
    <t>Meses vida útil</t>
  </si>
  <si>
    <t>Último mes de la primera mitad del periodo de uso en el ejercicio</t>
  </si>
  <si>
    <t>% Dep. Fiscal</t>
  </si>
  <si>
    <t>MACBOOK AIR 13</t>
  </si>
  <si>
    <t>Deducción Anual</t>
  </si>
  <si>
    <t>Meses de uso</t>
  </si>
  <si>
    <t>Saldo Pendiente</t>
  </si>
  <si>
    <t>INPC mes primera mitad</t>
  </si>
  <si>
    <t>Importe Deducción fiscal</t>
  </si>
  <si>
    <t>Clave Activo</t>
  </si>
  <si>
    <t>Tipo de activo</t>
  </si>
  <si>
    <t>Remanente</t>
  </si>
  <si>
    <t>Deduccion por ejercicio</t>
  </si>
  <si>
    <t>Contable</t>
  </si>
  <si>
    <t>Fiscal</t>
  </si>
  <si>
    <t>CUFIN por ejercicio</t>
  </si>
  <si>
    <t>Importe actualizado</t>
  </si>
  <si>
    <t>Resultado fiscal</t>
  </si>
  <si>
    <t>(-) ISR pagado</t>
  </si>
  <si>
    <t>(-) Pérdidas</t>
  </si>
  <si>
    <t>Determinación de la UFIN 2019</t>
  </si>
  <si>
    <t>Determinación de la UFIN 2021</t>
  </si>
  <si>
    <t>(-) ISR Pagado</t>
  </si>
  <si>
    <t>UFIN del ejercicio</t>
  </si>
  <si>
    <t>Determinación de la UFIN 2022</t>
  </si>
  <si>
    <t>Ejercicio 2023</t>
  </si>
  <si>
    <t>Resultdo 2023</t>
  </si>
  <si>
    <t>UFIN 2023</t>
  </si>
  <si>
    <t>Para deducir en periodos posteriores</t>
  </si>
  <si>
    <t>Multifuncional Brother de inyección de tinta</t>
  </si>
  <si>
    <t>511D89BE-09E0-4BCE-B751-D1F3B50C0B65</t>
  </si>
  <si>
    <t>UUID</t>
  </si>
  <si>
    <t>Folio</t>
  </si>
  <si>
    <t>No. Serie</t>
  </si>
  <si>
    <t>B0D8E21B-4DC7-4172-96D6-5A109A2C727D</t>
  </si>
  <si>
    <t>S3N0CV07220411B</t>
  </si>
  <si>
    <t>BCB94B04-C56E-4F2E-826E-46E02D055D33</t>
  </si>
  <si>
    <t>9D826F77-78EE-4CE1-A2E9-5815AD95546A</t>
  </si>
  <si>
    <t>WWPM6399T9</t>
  </si>
  <si>
    <t>U66054D4H149858</t>
  </si>
  <si>
    <t>HXJMC5XU1WFV</t>
  </si>
  <si>
    <t>U66054D4H136191</t>
  </si>
  <si>
    <t>Ubicación</t>
  </si>
  <si>
    <t>Matriz</t>
  </si>
  <si>
    <t>Tlacuaches</t>
  </si>
  <si>
    <t>LAPTOP ACER A315-23G-R2UH</t>
  </si>
  <si>
    <t>48992DA1-0052-4D22-8B5A-BA70213AE36A</t>
  </si>
  <si>
    <t>SN</t>
  </si>
  <si>
    <t>IPHONE SE 3 IPHONE SE 3A GEN ROJO</t>
  </si>
  <si>
    <t>9231A577-3ADA-44C8-961B-AD6CC0D27AA4</t>
  </si>
  <si>
    <t>Emisor</t>
  </si>
  <si>
    <t>PMU940317114</t>
  </si>
  <si>
    <t>4861874</t>
  </si>
  <si>
    <t>ECE9610253TA</t>
  </si>
  <si>
    <t>NWM9709244W4</t>
  </si>
  <si>
    <t>SOM101125UEA</t>
  </si>
  <si>
    <t>MAFJ970628PZ7</t>
  </si>
  <si>
    <t>CDI1305022N7</t>
  </si>
  <si>
    <t>8FE79BD3-FDE0-45E9-97BC-90E761E7A17B</t>
  </si>
  <si>
    <t>1464533 - 100012024813</t>
  </si>
  <si>
    <t>1435167 - 100005388310</t>
  </si>
  <si>
    <t>CFDI 320</t>
  </si>
  <si>
    <t>FBAA 3737246</t>
  </si>
  <si>
    <t>ICAGB 566544</t>
  </si>
  <si>
    <t>FCBF 1583604</t>
  </si>
  <si>
    <t>CFDI 60558055</t>
  </si>
  <si>
    <t>erroneo</t>
  </si>
  <si>
    <t>Actualización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</si>
</sst>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_ ;[Red]\-#,##0.00\ "/>
    <numFmt numFmtId="165" formatCode="#,##0.0000"/>
    <numFmt numFmtId="166" formatCode="#,##0.0000_ ;[Red]\-#,##0.0000\ "/>
  </numFmts>
  <fonts count="25" x14ac:knownFonts="1">
    <font>
      <sz val="11"/>
      <color theme="1"/>
      <name val="Aptos Narrow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rgb="FFFF0000"/>
      <name val="Calibri"/>
      <family val="2"/>
    </font>
    <font>
      <sz val="8"/>
      <name val="Aptos Narrow"/>
      <family val="2"/>
      <scheme val="minor"/>
    </font>
    <font>
      <b/>
      <sz val="9"/>
      <color theme="1"/>
      <name val="Calibri"/>
      <family val="2"/>
    </font>
    <font>
      <b/>
      <sz val="8"/>
      <color theme="1"/>
      <name val="Calibri"/>
      <family val="2"/>
    </font>
    <font>
      <b/>
      <u/>
      <sz val="10"/>
      <color theme="1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8EAA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9" fillId="0" borderId="0" xfId="0" applyFont="1"/>
    <xf numFmtId="0" fontId="18" fillId="2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14" fontId="19" fillId="3" borderId="1" xfId="0" applyNumberFormat="1" applyFont="1" applyFill="1" applyBorder="1" applyAlignment="1">
      <alignment vertical="center"/>
    </xf>
    <xf numFmtId="0" fontId="19" fillId="3" borderId="1" xfId="0" applyFont="1" applyFill="1" applyBorder="1" applyAlignment="1">
      <alignment vertical="center"/>
    </xf>
    <xf numFmtId="0" fontId="19" fillId="3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165" fontId="19" fillId="3" borderId="1" xfId="0" applyNumberFormat="1" applyFont="1" applyFill="1" applyBorder="1" applyAlignment="1">
      <alignment horizontal="center" vertical="center"/>
    </xf>
    <xf numFmtId="164" fontId="19" fillId="3" borderId="1" xfId="0" applyNumberFormat="1" applyFont="1" applyFill="1" applyBorder="1" applyAlignment="1">
      <alignment vertical="center"/>
    </xf>
    <xf numFmtId="164" fontId="19" fillId="3" borderId="1" xfId="0" applyNumberFormat="1" applyFont="1" applyFill="1" applyBorder="1" applyAlignment="1">
      <alignment horizontal="right" vertical="center"/>
    </xf>
    <xf numFmtId="0" fontId="19" fillId="0" borderId="1" xfId="0" applyFont="1" applyBorder="1" applyAlignment="1">
      <alignment vertical="center"/>
    </xf>
    <xf numFmtId="164" fontId="19" fillId="0" borderId="1" xfId="0" applyNumberFormat="1" applyFont="1" applyBorder="1" applyAlignment="1">
      <alignment vertical="center"/>
    </xf>
    <xf numFmtId="164" fontId="20" fillId="0" borderId="1" xfId="0" applyNumberFormat="1" applyFont="1" applyBorder="1" applyAlignment="1">
      <alignment vertical="center"/>
    </xf>
    <xf numFmtId="3" fontId="19" fillId="0" borderId="1" xfId="0" applyNumberFormat="1" applyFont="1" applyBorder="1" applyAlignment="1">
      <alignment horizontal="center" vertical="center"/>
    </xf>
    <xf numFmtId="0" fontId="17" fillId="0" borderId="0" xfId="0" applyFont="1"/>
    <xf numFmtId="0" fontId="18" fillId="0" borderId="0" xfId="0" applyFont="1"/>
    <xf numFmtId="14" fontId="17" fillId="3" borderId="1" xfId="0" applyNumberFormat="1" applyFont="1" applyFill="1" applyBorder="1" applyAlignment="1">
      <alignment vertical="center"/>
    </xf>
    <xf numFmtId="0" fontId="17" fillId="3" borderId="1" xfId="0" applyFont="1" applyFill="1" applyBorder="1" applyAlignment="1">
      <alignment vertical="center"/>
    </xf>
    <xf numFmtId="0" fontId="17" fillId="3" borderId="1" xfId="0" applyFont="1" applyFill="1" applyBorder="1" applyAlignment="1">
      <alignment horizontal="center" vertical="center"/>
    </xf>
    <xf numFmtId="165" fontId="17" fillId="3" borderId="1" xfId="0" applyNumberFormat="1" applyFont="1" applyFill="1" applyBorder="1" applyAlignment="1">
      <alignment horizontal="center" vertical="center"/>
    </xf>
    <xf numFmtId="164" fontId="17" fillId="3" borderId="1" xfId="0" applyNumberFormat="1" applyFont="1" applyFill="1" applyBorder="1" applyAlignment="1">
      <alignment horizontal="right" vertical="center"/>
    </xf>
    <xf numFmtId="0" fontId="18" fillId="7" borderId="1" xfId="0" applyFont="1" applyFill="1" applyBorder="1"/>
    <xf numFmtId="0" fontId="17" fillId="0" borderId="1" xfId="0" applyFont="1" applyBorder="1"/>
    <xf numFmtId="14" fontId="17" fillId="0" borderId="1" xfId="0" applyNumberFormat="1" applyFont="1" applyBorder="1"/>
    <xf numFmtId="164" fontId="17" fillId="0" borderId="1" xfId="0" applyNumberFormat="1" applyFont="1" applyBorder="1"/>
    <xf numFmtId="164" fontId="17" fillId="0" borderId="0" xfId="0" applyNumberFormat="1" applyFont="1"/>
    <xf numFmtId="0" fontId="18" fillId="8" borderId="1" xfId="0" applyFont="1" applyFill="1" applyBorder="1"/>
    <xf numFmtId="0" fontId="16" fillId="0" borderId="0" xfId="0" applyFont="1"/>
    <xf numFmtId="164" fontId="16" fillId="0" borderId="0" xfId="0" applyNumberFormat="1" applyFont="1"/>
    <xf numFmtId="0" fontId="16" fillId="0" borderId="1" xfId="0" applyFont="1" applyBorder="1"/>
    <xf numFmtId="164" fontId="16" fillId="0" borderId="1" xfId="0" applyNumberFormat="1" applyFont="1" applyBorder="1"/>
    <xf numFmtId="0" fontId="18" fillId="2" borderId="1" xfId="0" applyFont="1" applyFill="1" applyBorder="1" applyAlignment="1">
      <alignment vertical="center" wrapText="1"/>
    </xf>
    <xf numFmtId="164" fontId="16" fillId="9" borderId="1" xfId="0" applyNumberFormat="1" applyFont="1" applyFill="1" applyBorder="1"/>
    <xf numFmtId="164" fontId="18" fillId="0" borderId="1" xfId="0" applyNumberFormat="1" applyFont="1" applyBorder="1"/>
    <xf numFmtId="164" fontId="17" fillId="10" borderId="1" xfId="0" applyNumberFormat="1" applyFont="1" applyFill="1" applyBorder="1" applyAlignment="1">
      <alignment horizontal="right" vertical="center"/>
    </xf>
    <xf numFmtId="0" fontId="15" fillId="0" borderId="0" xfId="0" applyFont="1"/>
    <xf numFmtId="14" fontId="15" fillId="0" borderId="0" xfId="0" applyNumberFormat="1" applyFont="1"/>
    <xf numFmtId="9" fontId="15" fillId="0" borderId="0" xfId="0" applyNumberFormat="1" applyFont="1"/>
    <xf numFmtId="164" fontId="15" fillId="0" borderId="0" xfId="0" applyNumberFormat="1" applyFont="1"/>
    <xf numFmtId="166" fontId="15" fillId="0" borderId="0" xfId="0" applyNumberFormat="1" applyFont="1"/>
    <xf numFmtId="14" fontId="14" fillId="0" borderId="0" xfId="0" applyNumberFormat="1" applyFont="1"/>
    <xf numFmtId="164" fontId="13" fillId="0" borderId="1" xfId="0" applyNumberFormat="1" applyFont="1" applyBorder="1"/>
    <xf numFmtId="0" fontId="13" fillId="0" borderId="1" xfId="0" applyFont="1" applyBorder="1"/>
    <xf numFmtId="49" fontId="17" fillId="0" borderId="1" xfId="0" applyNumberFormat="1" applyFont="1" applyBorder="1"/>
    <xf numFmtId="49" fontId="13" fillId="0" borderId="1" xfId="0" applyNumberFormat="1" applyFont="1" applyBorder="1"/>
    <xf numFmtId="14" fontId="13" fillId="0" borderId="1" xfId="0" applyNumberFormat="1" applyFont="1" applyBorder="1"/>
    <xf numFmtId="0" fontId="12" fillId="0" borderId="1" xfId="0" applyFont="1" applyBorder="1"/>
    <xf numFmtId="14" fontId="12" fillId="0" borderId="1" xfId="0" applyNumberFormat="1" applyFont="1" applyBorder="1"/>
    <xf numFmtId="49" fontId="12" fillId="0" borderId="1" xfId="0" applyNumberFormat="1" applyFont="1" applyBorder="1"/>
    <xf numFmtId="0" fontId="11" fillId="0" borderId="1" xfId="0" applyFont="1" applyBorder="1"/>
    <xf numFmtId="14" fontId="11" fillId="0" borderId="1" xfId="0" applyNumberFormat="1" applyFont="1" applyBorder="1"/>
    <xf numFmtId="49" fontId="11" fillId="0" borderId="1" xfId="0" applyNumberFormat="1" applyFont="1" applyBorder="1"/>
    <xf numFmtId="0" fontId="10" fillId="0" borderId="1" xfId="0" applyFont="1" applyBorder="1"/>
    <xf numFmtId="14" fontId="10" fillId="0" borderId="1" xfId="0" applyNumberFormat="1" applyFont="1" applyBorder="1"/>
    <xf numFmtId="49" fontId="10" fillId="0" borderId="1" xfId="0" applyNumberFormat="1" applyFont="1" applyBorder="1"/>
    <xf numFmtId="14" fontId="9" fillId="3" borderId="1" xfId="0" applyNumberFormat="1" applyFont="1" applyFill="1" applyBorder="1" applyAlignment="1">
      <alignment vertical="center"/>
    </xf>
    <xf numFmtId="0" fontId="9" fillId="3" borderId="1" xfId="0" applyFont="1" applyFill="1" applyBorder="1" applyAlignment="1">
      <alignment vertical="center"/>
    </xf>
    <xf numFmtId="14" fontId="8" fillId="3" borderId="1" xfId="0" applyNumberFormat="1" applyFont="1" applyFill="1" applyBorder="1" applyAlignment="1">
      <alignment vertical="center"/>
    </xf>
    <xf numFmtId="0" fontId="8" fillId="3" borderId="1" xfId="0" applyFont="1" applyFill="1" applyBorder="1" applyAlignment="1">
      <alignment vertical="center"/>
    </xf>
    <xf numFmtId="164" fontId="17" fillId="11" borderId="1" xfId="0" applyNumberFormat="1" applyFont="1" applyFill="1" applyBorder="1" applyAlignment="1">
      <alignment horizontal="right" vertical="center"/>
    </xf>
    <xf numFmtId="0" fontId="18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3" fillId="0" borderId="0" xfId="0" applyFont="1" applyAlignment="1">
      <alignment horizontal="center" vertical="center" wrapText="1"/>
    </xf>
    <xf numFmtId="0" fontId="15" fillId="0" borderId="2" xfId="0" applyFont="1" applyBorder="1"/>
    <xf numFmtId="0" fontId="15" fillId="0" borderId="2" xfId="0" applyFont="1" applyBorder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18" fillId="0" borderId="3" xfId="0" applyFont="1" applyBorder="1"/>
    <xf numFmtId="0" fontId="15" fillId="0" borderId="3" xfId="0" applyFont="1" applyBorder="1"/>
    <xf numFmtId="0" fontId="15" fillId="0" borderId="3" xfId="0" applyFont="1" applyBorder="1" applyAlignment="1">
      <alignment horizontal="center"/>
    </xf>
    <xf numFmtId="0" fontId="6" fillId="0" borderId="0" xfId="0" applyFont="1"/>
    <xf numFmtId="0" fontId="6" fillId="0" borderId="4" xfId="0" applyFont="1" applyBorder="1"/>
    <xf numFmtId="164" fontId="17" fillId="0" borderId="4" xfId="0" applyNumberFormat="1" applyFont="1" applyBorder="1"/>
    <xf numFmtId="0" fontId="18" fillId="0" borderId="0" xfId="0" applyFont="1" applyAlignment="1">
      <alignment horizontal="right"/>
    </xf>
    <xf numFmtId="0" fontId="6" fillId="12" borderId="0" xfId="0" applyFont="1" applyFill="1"/>
    <xf numFmtId="164" fontId="17" fillId="12" borderId="0" xfId="0" applyNumberFormat="1" applyFont="1" applyFill="1"/>
    <xf numFmtId="0" fontId="5" fillId="3" borderId="1" xfId="0" applyFont="1" applyFill="1" applyBorder="1" applyAlignment="1">
      <alignment vertical="center"/>
    </xf>
    <xf numFmtId="164" fontId="18" fillId="0" borderId="0" xfId="0" applyNumberFormat="1" applyFont="1"/>
    <xf numFmtId="0" fontId="4" fillId="0" borderId="0" xfId="0" applyFont="1"/>
    <xf numFmtId="0" fontId="3" fillId="0" borderId="0" xfId="0" applyFont="1"/>
    <xf numFmtId="0" fontId="24" fillId="0" borderId="0" xfId="0" applyFont="1" applyAlignment="1">
      <alignment horizontal="right"/>
    </xf>
    <xf numFmtId="0" fontId="24" fillId="0" borderId="0" xfId="0" applyFont="1" applyAlignment="1">
      <alignment horizontal="right" vertical="top"/>
    </xf>
    <xf numFmtId="0" fontId="3" fillId="0" borderId="0" xfId="0" applyFont="1" applyAlignment="1">
      <alignment vertical="top"/>
    </xf>
    <xf numFmtId="49" fontId="15" fillId="0" borderId="0" xfId="0" applyNumberFormat="1" applyFont="1"/>
    <xf numFmtId="49" fontId="3" fillId="0" borderId="0" xfId="0" applyNumberFormat="1" applyFont="1"/>
    <xf numFmtId="0" fontId="7" fillId="13" borderId="0" xfId="0" applyFont="1" applyFill="1"/>
    <xf numFmtId="0" fontId="3" fillId="13" borderId="0" xfId="0" applyFont="1" applyFill="1"/>
    <xf numFmtId="0" fontId="2" fillId="0" borderId="0" xfId="0" applyFont="1"/>
    <xf numFmtId="0" fontId="2" fillId="0" borderId="0" xfId="0" applyFont="1" applyAlignment="1">
      <alignment vertical="top"/>
    </xf>
    <xf numFmtId="0" fontId="18" fillId="0" borderId="0" xfId="0" applyFont="1" applyAlignment="1">
      <alignment vertical="top"/>
    </xf>
    <xf numFmtId="164" fontId="18" fillId="0" borderId="0" xfId="0" applyNumberFormat="1" applyFont="1" applyAlignment="1">
      <alignment vertical="top"/>
    </xf>
    <xf numFmtId="164" fontId="15" fillId="0" borderId="0" xfId="0" applyNumberFormat="1" applyFont="1" applyAlignment="1">
      <alignment vertical="top"/>
    </xf>
    <xf numFmtId="0" fontId="1" fillId="3" borderId="1" xfId="0" applyFont="1" applyFill="1" applyBorder="1" applyAlignment="1">
      <alignment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6687E-7ADB-4B4A-A3E7-6644A207483D}">
  <sheetPr>
    <tabColor theme="8" tint="-0.249977111117893"/>
  </sheetPr>
  <dimension ref="A1:I12"/>
  <sheetViews>
    <sheetView workbookViewId="0">
      <selection activeCell="F12" sqref="F12"/>
    </sheetView>
  </sheetViews>
  <sheetFormatPr baseColWidth="10" defaultRowHeight="12.75" x14ac:dyDescent="0.2"/>
  <cols>
    <col min="1" max="1" width="7.28515625" style="1" bestFit="1" customWidth="1"/>
    <col min="2" max="7" width="11.42578125" style="1"/>
    <col min="8" max="8" width="7.7109375" style="1" bestFit="1" customWidth="1"/>
    <col min="9" max="9" width="8.42578125" style="1" bestFit="1" customWidth="1"/>
    <col min="10" max="16384" width="11.42578125" style="1"/>
  </cols>
  <sheetData>
    <row r="1" spans="1:9" x14ac:dyDescent="0.2">
      <c r="A1" s="3" t="s">
        <v>0</v>
      </c>
    </row>
    <row r="2" spans="1:9" x14ac:dyDescent="0.2">
      <c r="A2" s="3" t="s">
        <v>13</v>
      </c>
    </row>
    <row r="4" spans="1:9" ht="25.5" x14ac:dyDescent="0.2">
      <c r="A4" s="7" t="s">
        <v>14</v>
      </c>
      <c r="B4" s="7" t="s">
        <v>15</v>
      </c>
      <c r="C4" s="8" t="s">
        <v>11</v>
      </c>
      <c r="D4" s="8" t="s">
        <v>18</v>
      </c>
      <c r="E4" s="8" t="s">
        <v>16</v>
      </c>
      <c r="F4" s="9" t="s">
        <v>19</v>
      </c>
      <c r="G4" s="7" t="s">
        <v>20</v>
      </c>
      <c r="H4" s="7" t="s">
        <v>24</v>
      </c>
      <c r="I4" s="7" t="s">
        <v>25</v>
      </c>
    </row>
    <row r="5" spans="1:9" x14ac:dyDescent="0.2">
      <c r="A5" s="13">
        <v>2016</v>
      </c>
      <c r="B5" s="14">
        <v>50000</v>
      </c>
      <c r="C5" s="14">
        <f>ActualizacionCUCA!K6</f>
        <v>1385</v>
      </c>
      <c r="D5" s="14">
        <v>0</v>
      </c>
      <c r="E5" s="14">
        <v>0</v>
      </c>
      <c r="F5" s="15">
        <v>0</v>
      </c>
      <c r="G5" s="14">
        <f>B5+C5+D5+E5-F5</f>
        <v>51385</v>
      </c>
      <c r="H5" s="16">
        <v>1000</v>
      </c>
      <c r="I5" s="14">
        <f>ROUND(G5/H5,2)</f>
        <v>51.39</v>
      </c>
    </row>
    <row r="6" spans="1:9" x14ac:dyDescent="0.2">
      <c r="A6" s="13">
        <v>2017</v>
      </c>
      <c r="B6" s="14">
        <f>G5</f>
        <v>51385</v>
      </c>
      <c r="C6" s="14">
        <f>ActualizacionCUCA!K7</f>
        <v>3479</v>
      </c>
      <c r="D6" s="14">
        <v>0</v>
      </c>
      <c r="E6" s="14">
        <v>0</v>
      </c>
      <c r="F6" s="15">
        <v>0</v>
      </c>
      <c r="G6" s="14">
        <f t="shared" ref="G6:G12" si="0">B6+C6+D6+E6-F6</f>
        <v>54864</v>
      </c>
      <c r="H6" s="16">
        <v>1000</v>
      </c>
      <c r="I6" s="14">
        <f t="shared" ref="I6:I12" si="1">ROUND(G6/H6,2)</f>
        <v>54.86</v>
      </c>
    </row>
    <row r="7" spans="1:9" x14ac:dyDescent="0.2">
      <c r="A7" s="13">
        <v>2018</v>
      </c>
      <c r="B7" s="14">
        <f t="shared" ref="B7:B12" si="2">G6</f>
        <v>54864</v>
      </c>
      <c r="C7" s="14">
        <f>ActualizacionCUCA!K8</f>
        <v>2650</v>
      </c>
      <c r="D7" s="14">
        <v>0</v>
      </c>
      <c r="E7" s="14">
        <v>0</v>
      </c>
      <c r="F7" s="15">
        <v>0</v>
      </c>
      <c r="G7" s="14">
        <f t="shared" si="0"/>
        <v>57514</v>
      </c>
      <c r="H7" s="16">
        <v>1000</v>
      </c>
      <c r="I7" s="14">
        <f t="shared" si="1"/>
        <v>57.51</v>
      </c>
    </row>
    <row r="8" spans="1:9" x14ac:dyDescent="0.2">
      <c r="A8" s="13">
        <v>2019</v>
      </c>
      <c r="B8" s="14">
        <f t="shared" si="2"/>
        <v>57514</v>
      </c>
      <c r="C8" s="14">
        <f>ActualizacionCUCA!K9</f>
        <v>1622</v>
      </c>
      <c r="D8" s="14">
        <v>0</v>
      </c>
      <c r="E8" s="14">
        <v>0</v>
      </c>
      <c r="F8" s="15">
        <v>0</v>
      </c>
      <c r="G8" s="14">
        <f t="shared" si="0"/>
        <v>59136</v>
      </c>
      <c r="H8" s="16">
        <v>1000</v>
      </c>
      <c r="I8" s="14">
        <f t="shared" si="1"/>
        <v>59.14</v>
      </c>
    </row>
    <row r="9" spans="1:9" x14ac:dyDescent="0.2">
      <c r="A9" s="13">
        <v>2020</v>
      </c>
      <c r="B9" s="14">
        <f t="shared" si="2"/>
        <v>59136</v>
      </c>
      <c r="C9" s="14">
        <f>ActualizacionCUCA!K10</f>
        <v>1863</v>
      </c>
      <c r="D9" s="14">
        <v>0</v>
      </c>
      <c r="E9" s="14">
        <v>0</v>
      </c>
      <c r="F9" s="15">
        <v>0</v>
      </c>
      <c r="G9" s="14">
        <f t="shared" si="0"/>
        <v>60999</v>
      </c>
      <c r="H9" s="16">
        <v>1000</v>
      </c>
      <c r="I9" s="14">
        <f t="shared" si="1"/>
        <v>61</v>
      </c>
    </row>
    <row r="10" spans="1:9" x14ac:dyDescent="0.2">
      <c r="A10" s="13">
        <v>2021</v>
      </c>
      <c r="B10" s="14">
        <f t="shared" si="2"/>
        <v>60999</v>
      </c>
      <c r="C10" s="14">
        <f>ActualizacionCUCA!K11</f>
        <v>4483</v>
      </c>
      <c r="D10" s="14">
        <v>0</v>
      </c>
      <c r="E10" s="14">
        <v>0</v>
      </c>
      <c r="F10" s="15">
        <v>0</v>
      </c>
      <c r="G10" s="14">
        <f t="shared" si="0"/>
        <v>65482</v>
      </c>
      <c r="H10" s="16">
        <v>1000</v>
      </c>
      <c r="I10" s="14">
        <f t="shared" si="1"/>
        <v>65.48</v>
      </c>
    </row>
    <row r="11" spans="1:9" x14ac:dyDescent="0.2">
      <c r="A11" s="13">
        <v>2022</v>
      </c>
      <c r="B11" s="14">
        <f t="shared" si="2"/>
        <v>65482</v>
      </c>
      <c r="C11" s="14">
        <f>ActualizacionCUCA!K12</f>
        <v>5114</v>
      </c>
      <c r="D11" s="14">
        <v>0</v>
      </c>
      <c r="E11" s="14">
        <v>0</v>
      </c>
      <c r="F11" s="15">
        <v>0</v>
      </c>
      <c r="G11" s="14">
        <f t="shared" si="0"/>
        <v>70596</v>
      </c>
      <c r="H11" s="16">
        <v>1000</v>
      </c>
      <c r="I11" s="14">
        <f t="shared" si="1"/>
        <v>70.599999999999994</v>
      </c>
    </row>
    <row r="12" spans="1:9" x14ac:dyDescent="0.2">
      <c r="A12" s="13">
        <v>2023</v>
      </c>
      <c r="B12" s="14">
        <f t="shared" si="2"/>
        <v>70596</v>
      </c>
      <c r="C12" s="14">
        <f>ActualizacionCUCA!K13</f>
        <v>3290</v>
      </c>
      <c r="D12" s="14">
        <v>0</v>
      </c>
      <c r="E12" s="14">
        <v>0</v>
      </c>
      <c r="F12" s="15">
        <v>0</v>
      </c>
      <c r="G12" s="14">
        <f t="shared" si="0"/>
        <v>73886</v>
      </c>
      <c r="H12" s="16">
        <v>1000</v>
      </c>
      <c r="I12" s="14">
        <f t="shared" si="1"/>
        <v>73.89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03B45C-92A1-417D-9184-A7B89FE597AA}">
  <sheetPr>
    <tabColor theme="8" tint="-0.249977111117893"/>
  </sheetPr>
  <dimension ref="A1:O13"/>
  <sheetViews>
    <sheetView workbookViewId="0">
      <selection activeCell="O13" sqref="O13"/>
    </sheetView>
  </sheetViews>
  <sheetFormatPr baseColWidth="10" defaultRowHeight="12.75" x14ac:dyDescent="0.2"/>
  <cols>
    <col min="1" max="1" width="10.42578125" style="1" bestFit="1" customWidth="1"/>
    <col min="2" max="2" width="19.5703125" style="1" customWidth="1"/>
    <col min="3" max="3" width="7.42578125" style="1" customWidth="1"/>
    <col min="4" max="4" width="5.5703125" style="1" customWidth="1"/>
    <col min="5" max="5" width="11.7109375" style="1" customWidth="1"/>
    <col min="6" max="6" width="7.42578125" style="1" customWidth="1"/>
    <col min="7" max="7" width="5.5703125" style="1" bestFit="1" customWidth="1"/>
    <col min="8" max="8" width="11.7109375" style="1" customWidth="1"/>
    <col min="9" max="10" width="10.7109375" style="1" customWidth="1"/>
    <col min="11" max="15" width="11.7109375" style="1" customWidth="1"/>
    <col min="16" max="16384" width="11.42578125" style="1"/>
  </cols>
  <sheetData>
    <row r="1" spans="1:15" x14ac:dyDescent="0.2">
      <c r="A1" s="3" t="s">
        <v>0</v>
      </c>
    </row>
    <row r="2" spans="1:15" x14ac:dyDescent="0.2">
      <c r="A2" s="3" t="s">
        <v>12</v>
      </c>
    </row>
    <row r="4" spans="1:15" ht="25.5" x14ac:dyDescent="0.2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21</v>
      </c>
      <c r="G4" s="2" t="s">
        <v>22</v>
      </c>
      <c r="H4" s="2" t="s">
        <v>6</v>
      </c>
      <c r="I4" s="2" t="s">
        <v>7</v>
      </c>
      <c r="J4" s="2" t="s">
        <v>8</v>
      </c>
      <c r="K4" s="2" t="s">
        <v>34</v>
      </c>
      <c r="L4" s="2" t="s">
        <v>9</v>
      </c>
      <c r="M4" s="2" t="s">
        <v>23</v>
      </c>
      <c r="N4" s="2" t="s">
        <v>17</v>
      </c>
      <c r="O4" s="2" t="s">
        <v>9</v>
      </c>
    </row>
    <row r="5" spans="1:15" x14ac:dyDescent="0.2">
      <c r="A5" s="4">
        <v>42565</v>
      </c>
      <c r="B5" s="5" t="s">
        <v>10</v>
      </c>
      <c r="C5" s="6"/>
      <c r="D5" s="6"/>
      <c r="E5" s="6"/>
      <c r="F5" s="6"/>
      <c r="G5" s="6"/>
      <c r="H5" s="6"/>
      <c r="I5" s="5"/>
      <c r="J5" s="5"/>
      <c r="K5" s="11"/>
      <c r="L5" s="12">
        <v>50000</v>
      </c>
      <c r="M5" s="11">
        <v>0</v>
      </c>
      <c r="N5" s="11">
        <v>0</v>
      </c>
      <c r="O5" s="11">
        <f>L5+M5-N5</f>
        <v>50000</v>
      </c>
    </row>
    <row r="6" spans="1:15" x14ac:dyDescent="0.2">
      <c r="A6" s="4">
        <v>42735</v>
      </c>
      <c r="B6" s="5" t="s">
        <v>26</v>
      </c>
      <c r="C6" s="6">
        <v>7</v>
      </c>
      <c r="D6" s="6">
        <v>2016</v>
      </c>
      <c r="E6" s="6">
        <v>89.556914000000006</v>
      </c>
      <c r="F6" s="6">
        <v>12</v>
      </c>
      <c r="G6" s="6">
        <v>2016</v>
      </c>
      <c r="H6" s="6">
        <v>92.039034999999998</v>
      </c>
      <c r="I6" s="10">
        <f>TRUNC(H6/E6,4)</f>
        <v>1.0277000000000001</v>
      </c>
      <c r="J6" s="10">
        <f>I6-1</f>
        <v>2.7700000000000058E-2</v>
      </c>
      <c r="K6" s="12">
        <f>ROUND(O5*J6,0)</f>
        <v>1385</v>
      </c>
      <c r="L6" s="12">
        <f>O5+K6</f>
        <v>51385</v>
      </c>
      <c r="M6" s="11">
        <v>0</v>
      </c>
      <c r="N6" s="11">
        <v>0</v>
      </c>
      <c r="O6" s="11">
        <f t="shared" ref="O6:O13" si="0">L6+M6-N6</f>
        <v>51385</v>
      </c>
    </row>
    <row r="7" spans="1:15" x14ac:dyDescent="0.2">
      <c r="A7" s="4">
        <v>43100</v>
      </c>
      <c r="B7" s="5" t="s">
        <v>27</v>
      </c>
      <c r="C7" s="6">
        <f>F6</f>
        <v>12</v>
      </c>
      <c r="D7" s="6">
        <f>G6</f>
        <v>2016</v>
      </c>
      <c r="E7" s="6">
        <f>H6</f>
        <v>92.039034999999998</v>
      </c>
      <c r="F7" s="6">
        <v>12</v>
      </c>
      <c r="G7" s="6">
        <v>2017</v>
      </c>
      <c r="H7" s="6">
        <v>98.272882999999993</v>
      </c>
      <c r="I7" s="10">
        <f t="shared" ref="I7:I8" si="1">TRUNC(H7/E7,4)</f>
        <v>1.0677000000000001</v>
      </c>
      <c r="J7" s="10">
        <f>I7-1</f>
        <v>6.7700000000000093E-2</v>
      </c>
      <c r="K7" s="12">
        <f t="shared" ref="K7:K13" si="2">ROUND(O6*J7,0)</f>
        <v>3479</v>
      </c>
      <c r="L7" s="12">
        <f>O6+K7</f>
        <v>54864</v>
      </c>
      <c r="M7" s="11">
        <v>0</v>
      </c>
      <c r="N7" s="11">
        <v>0</v>
      </c>
      <c r="O7" s="11">
        <f t="shared" si="0"/>
        <v>54864</v>
      </c>
    </row>
    <row r="8" spans="1:15" x14ac:dyDescent="0.2">
      <c r="A8" s="4">
        <v>43465</v>
      </c>
      <c r="B8" s="5" t="s">
        <v>28</v>
      </c>
      <c r="C8" s="6">
        <f t="shared" ref="C8:C13" si="3">F7</f>
        <v>12</v>
      </c>
      <c r="D8" s="6">
        <f t="shared" ref="D8:D13" si="4">G7</f>
        <v>2017</v>
      </c>
      <c r="E8" s="6">
        <f t="shared" ref="E8:E13" si="5">H7</f>
        <v>98.272882999999993</v>
      </c>
      <c r="F8" s="6">
        <v>12</v>
      </c>
      <c r="G8" s="6">
        <v>2018</v>
      </c>
      <c r="H8" s="6">
        <v>103.02</v>
      </c>
      <c r="I8" s="10">
        <f t="shared" si="1"/>
        <v>1.0483</v>
      </c>
      <c r="J8" s="10">
        <f>I8-1</f>
        <v>4.830000000000001E-2</v>
      </c>
      <c r="K8" s="12">
        <f t="shared" si="2"/>
        <v>2650</v>
      </c>
      <c r="L8" s="12">
        <f t="shared" ref="L8:L12" si="6">O7+K8</f>
        <v>57514</v>
      </c>
      <c r="M8" s="11">
        <v>0</v>
      </c>
      <c r="N8" s="11">
        <v>0</v>
      </c>
      <c r="O8" s="11">
        <f t="shared" si="0"/>
        <v>57514</v>
      </c>
    </row>
    <row r="9" spans="1:15" x14ac:dyDescent="0.2">
      <c r="A9" s="4">
        <v>43830</v>
      </c>
      <c r="B9" s="5" t="s">
        <v>29</v>
      </c>
      <c r="C9" s="6">
        <f t="shared" si="3"/>
        <v>12</v>
      </c>
      <c r="D9" s="6">
        <f t="shared" si="4"/>
        <v>2018</v>
      </c>
      <c r="E9" s="6">
        <f t="shared" si="5"/>
        <v>103.02</v>
      </c>
      <c r="F9" s="6">
        <v>12</v>
      </c>
      <c r="G9" s="6">
        <v>2019</v>
      </c>
      <c r="H9" s="6">
        <v>105.934</v>
      </c>
      <c r="I9" s="10">
        <f t="shared" ref="I9:I13" si="7">TRUNC(H9/E9,4)</f>
        <v>1.0282</v>
      </c>
      <c r="J9" s="10">
        <f t="shared" ref="J9:J13" si="8">I9-1</f>
        <v>2.8200000000000003E-2</v>
      </c>
      <c r="K9" s="12">
        <f t="shared" si="2"/>
        <v>1622</v>
      </c>
      <c r="L9" s="12">
        <f t="shared" si="6"/>
        <v>59136</v>
      </c>
      <c r="M9" s="11">
        <v>0</v>
      </c>
      <c r="N9" s="11">
        <v>0</v>
      </c>
      <c r="O9" s="11">
        <f t="shared" si="0"/>
        <v>59136</v>
      </c>
    </row>
    <row r="10" spans="1:15" x14ac:dyDescent="0.2">
      <c r="A10" s="4">
        <v>44196</v>
      </c>
      <c r="B10" s="5" t="s">
        <v>30</v>
      </c>
      <c r="C10" s="6">
        <f t="shared" si="3"/>
        <v>12</v>
      </c>
      <c r="D10" s="6">
        <f t="shared" si="4"/>
        <v>2019</v>
      </c>
      <c r="E10" s="6">
        <f t="shared" si="5"/>
        <v>105.934</v>
      </c>
      <c r="F10" s="6">
        <v>12</v>
      </c>
      <c r="G10" s="6">
        <v>2020</v>
      </c>
      <c r="H10" s="6">
        <v>109.271</v>
      </c>
      <c r="I10" s="10">
        <f t="shared" si="7"/>
        <v>1.0315000000000001</v>
      </c>
      <c r="J10" s="10">
        <f t="shared" si="8"/>
        <v>3.1500000000000083E-2</v>
      </c>
      <c r="K10" s="12">
        <f t="shared" si="2"/>
        <v>1863</v>
      </c>
      <c r="L10" s="12">
        <f t="shared" si="6"/>
        <v>60999</v>
      </c>
      <c r="M10" s="11">
        <v>0</v>
      </c>
      <c r="N10" s="11">
        <v>0</v>
      </c>
      <c r="O10" s="11">
        <f t="shared" si="0"/>
        <v>60999</v>
      </c>
    </row>
    <row r="11" spans="1:15" x14ac:dyDescent="0.2">
      <c r="A11" s="4">
        <v>44561</v>
      </c>
      <c r="B11" s="5" t="s">
        <v>31</v>
      </c>
      <c r="C11" s="6">
        <f t="shared" si="3"/>
        <v>12</v>
      </c>
      <c r="D11" s="6">
        <f t="shared" si="4"/>
        <v>2020</v>
      </c>
      <c r="E11" s="6">
        <f t="shared" si="5"/>
        <v>109.271</v>
      </c>
      <c r="F11" s="6">
        <v>12</v>
      </c>
      <c r="G11" s="6">
        <v>2021</v>
      </c>
      <c r="H11" s="6">
        <v>117.30800000000001</v>
      </c>
      <c r="I11" s="10">
        <f t="shared" si="7"/>
        <v>1.0734999999999999</v>
      </c>
      <c r="J11" s="10">
        <f t="shared" si="8"/>
        <v>7.3499999999999899E-2</v>
      </c>
      <c r="K11" s="12">
        <f t="shared" si="2"/>
        <v>4483</v>
      </c>
      <c r="L11" s="12">
        <f t="shared" si="6"/>
        <v>65482</v>
      </c>
      <c r="M11" s="11">
        <v>0</v>
      </c>
      <c r="N11" s="11">
        <v>0</v>
      </c>
      <c r="O11" s="11">
        <f t="shared" si="0"/>
        <v>65482</v>
      </c>
    </row>
    <row r="12" spans="1:15" x14ac:dyDescent="0.2">
      <c r="A12" s="4">
        <v>44926</v>
      </c>
      <c r="B12" s="5" t="s">
        <v>32</v>
      </c>
      <c r="C12" s="6">
        <f t="shared" si="3"/>
        <v>12</v>
      </c>
      <c r="D12" s="6">
        <f t="shared" si="4"/>
        <v>2021</v>
      </c>
      <c r="E12" s="6">
        <f t="shared" si="5"/>
        <v>117.30800000000001</v>
      </c>
      <c r="F12" s="6">
        <v>12</v>
      </c>
      <c r="G12" s="6">
        <v>2022</v>
      </c>
      <c r="H12" s="6">
        <v>126.47799999999999</v>
      </c>
      <c r="I12" s="10">
        <f t="shared" si="7"/>
        <v>1.0781000000000001</v>
      </c>
      <c r="J12" s="10">
        <f t="shared" si="8"/>
        <v>7.8100000000000058E-2</v>
      </c>
      <c r="K12" s="12">
        <f t="shared" si="2"/>
        <v>5114</v>
      </c>
      <c r="L12" s="12">
        <f t="shared" si="6"/>
        <v>70596</v>
      </c>
      <c r="M12" s="11">
        <v>0</v>
      </c>
      <c r="N12" s="11">
        <v>0</v>
      </c>
      <c r="O12" s="11">
        <f t="shared" si="0"/>
        <v>70596</v>
      </c>
    </row>
    <row r="13" spans="1:15" x14ac:dyDescent="0.2">
      <c r="A13" s="4">
        <v>45291</v>
      </c>
      <c r="B13" s="5" t="s">
        <v>33</v>
      </c>
      <c r="C13" s="6">
        <f t="shared" si="3"/>
        <v>12</v>
      </c>
      <c r="D13" s="6">
        <f t="shared" si="4"/>
        <v>2022</v>
      </c>
      <c r="E13" s="6">
        <f t="shared" si="5"/>
        <v>126.47799999999999</v>
      </c>
      <c r="F13" s="6">
        <v>12</v>
      </c>
      <c r="G13" s="6">
        <v>2023</v>
      </c>
      <c r="H13" s="6">
        <v>132.37299999999999</v>
      </c>
      <c r="I13" s="10">
        <f t="shared" si="7"/>
        <v>1.0466</v>
      </c>
      <c r="J13" s="10">
        <f t="shared" si="8"/>
        <v>4.6599999999999975E-2</v>
      </c>
      <c r="K13" s="12">
        <f t="shared" si="2"/>
        <v>3290</v>
      </c>
      <c r="L13" s="12">
        <f>O12+K13</f>
        <v>73886</v>
      </c>
      <c r="M13" s="11">
        <v>0</v>
      </c>
      <c r="N13" s="11">
        <v>0</v>
      </c>
      <c r="O13" s="11">
        <f t="shared" si="0"/>
        <v>73886</v>
      </c>
    </row>
  </sheetData>
  <phoneticPr fontId="2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293C2-61CB-4F32-B8B6-EBC8AF3EE90A}">
  <sheetPr>
    <tabColor theme="9" tint="-0.249977111117893"/>
  </sheetPr>
  <dimension ref="A1:U36"/>
  <sheetViews>
    <sheetView topLeftCell="A4" workbookViewId="0">
      <selection activeCell="P30" sqref="P30"/>
    </sheetView>
  </sheetViews>
  <sheetFormatPr baseColWidth="10" defaultRowHeight="12.75" x14ac:dyDescent="0.2"/>
  <cols>
    <col min="1" max="1" width="10.42578125" style="17" bestFit="1" customWidth="1"/>
    <col min="2" max="2" width="19.5703125" style="17" customWidth="1"/>
    <col min="3" max="3" width="7.42578125" style="17" customWidth="1"/>
    <col min="4" max="4" width="5.5703125" style="17" customWidth="1"/>
    <col min="5" max="5" width="11.7109375" style="17" customWidth="1"/>
    <col min="6" max="6" width="7.42578125" style="17" customWidth="1"/>
    <col min="7" max="7" width="5.5703125" style="17" bestFit="1" customWidth="1"/>
    <col min="8" max="8" width="11.7109375" style="17" customWidth="1"/>
    <col min="9" max="10" width="10.7109375" style="17" customWidth="1"/>
    <col min="11" max="12" width="11.7109375" style="17" customWidth="1"/>
    <col min="13" max="13" width="11.42578125" style="17"/>
    <col min="14" max="14" width="13.7109375" style="17" bestFit="1" customWidth="1"/>
    <col min="15" max="16384" width="11.42578125" style="17"/>
  </cols>
  <sheetData>
    <row r="1" spans="1:21" x14ac:dyDescent="0.2">
      <c r="A1" s="3" t="s">
        <v>0</v>
      </c>
    </row>
    <row r="2" spans="1:21" x14ac:dyDescent="0.2">
      <c r="A2" s="3" t="s">
        <v>44</v>
      </c>
    </row>
    <row r="3" spans="1:21" x14ac:dyDescent="0.2">
      <c r="A3" s="3"/>
    </row>
    <row r="5" spans="1:21" x14ac:dyDescent="0.2">
      <c r="A5" s="18" t="s">
        <v>40</v>
      </c>
    </row>
    <row r="6" spans="1:21" ht="25.5" x14ac:dyDescent="0.2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21</v>
      </c>
      <c r="G6" s="2" t="s">
        <v>22</v>
      </c>
      <c r="H6" s="2" t="s">
        <v>6</v>
      </c>
      <c r="I6" s="2" t="s">
        <v>7</v>
      </c>
      <c r="J6" s="2" t="s">
        <v>8</v>
      </c>
      <c r="K6" s="2" t="s">
        <v>34</v>
      </c>
      <c r="L6" s="2" t="s">
        <v>9</v>
      </c>
      <c r="N6" s="18" t="s">
        <v>130</v>
      </c>
    </row>
    <row r="7" spans="1:21" x14ac:dyDescent="0.2">
      <c r="A7" s="19" t="s">
        <v>35</v>
      </c>
      <c r="B7" s="20" t="s">
        <v>41</v>
      </c>
      <c r="C7" s="21"/>
      <c r="D7" s="21"/>
      <c r="E7" s="21"/>
      <c r="F7" s="21"/>
      <c r="G7" s="21"/>
      <c r="H7" s="21"/>
      <c r="I7" s="22"/>
      <c r="J7" s="22"/>
      <c r="K7" s="23"/>
      <c r="L7" s="23">
        <f>O9</f>
        <v>0</v>
      </c>
      <c r="N7" s="77" t="s">
        <v>127</v>
      </c>
      <c r="O7" s="78">
        <v>105</v>
      </c>
      <c r="T7" s="18" t="s">
        <v>125</v>
      </c>
    </row>
    <row r="8" spans="1:21" x14ac:dyDescent="0.2">
      <c r="A8" s="19">
        <v>43830</v>
      </c>
      <c r="B8" s="20" t="s">
        <v>29</v>
      </c>
      <c r="C8" s="21">
        <v>7</v>
      </c>
      <c r="D8" s="21">
        <v>2019</v>
      </c>
      <c r="E8" s="21">
        <v>103.687</v>
      </c>
      <c r="F8" s="21">
        <v>12</v>
      </c>
      <c r="G8" s="21">
        <v>2019</v>
      </c>
      <c r="H8" s="21">
        <v>105.934</v>
      </c>
      <c r="I8" s="22">
        <f t="shared" ref="I8:I12" si="0">TRUNC(H8/E8,4)</f>
        <v>1.0216000000000001</v>
      </c>
      <c r="J8" s="22">
        <f t="shared" ref="J8:J12" si="1">I8-1</f>
        <v>2.1600000000000064E-2</v>
      </c>
      <c r="K8" s="23">
        <f>ROUND(L7*J8,0)</f>
        <v>0</v>
      </c>
      <c r="L8" s="23">
        <f>L7+K8</f>
        <v>0</v>
      </c>
      <c r="N8" s="74" t="s">
        <v>129</v>
      </c>
      <c r="O8" s="75">
        <f>Perdidas!M10</f>
        <v>105</v>
      </c>
      <c r="T8" s="18" t="s">
        <v>14</v>
      </c>
      <c r="U8" s="18" t="s">
        <v>126</v>
      </c>
    </row>
    <row r="9" spans="1:21" x14ac:dyDescent="0.2">
      <c r="A9" s="19">
        <v>44196</v>
      </c>
      <c r="B9" s="20" t="s">
        <v>30</v>
      </c>
      <c r="C9" s="21">
        <f t="shared" ref="C9:E12" si="2">F8</f>
        <v>12</v>
      </c>
      <c r="D9" s="21">
        <f t="shared" si="2"/>
        <v>2019</v>
      </c>
      <c r="E9" s="21">
        <f t="shared" si="2"/>
        <v>105.934</v>
      </c>
      <c r="F9" s="21">
        <v>12</v>
      </c>
      <c r="G9" s="21">
        <v>2020</v>
      </c>
      <c r="H9" s="21">
        <v>109.271</v>
      </c>
      <c r="I9" s="22">
        <f t="shared" si="0"/>
        <v>1.0315000000000001</v>
      </c>
      <c r="J9" s="22">
        <f t="shared" si="1"/>
        <v>3.1500000000000083E-2</v>
      </c>
      <c r="K9" s="23">
        <f t="shared" ref="K9:K12" si="3">ROUND(L8*J9,0)</f>
        <v>0</v>
      </c>
      <c r="L9" s="23">
        <f>L8+K9</f>
        <v>0</v>
      </c>
      <c r="O9" s="28">
        <v>0</v>
      </c>
      <c r="T9" s="18">
        <v>2019</v>
      </c>
      <c r="U9" s="28">
        <f>L8</f>
        <v>0</v>
      </c>
    </row>
    <row r="10" spans="1:21" x14ac:dyDescent="0.2">
      <c r="A10" s="19">
        <v>44561</v>
      </c>
      <c r="B10" s="20" t="s">
        <v>31</v>
      </c>
      <c r="C10" s="21">
        <f t="shared" si="2"/>
        <v>12</v>
      </c>
      <c r="D10" s="21">
        <f t="shared" si="2"/>
        <v>2020</v>
      </c>
      <c r="E10" s="21">
        <f t="shared" si="2"/>
        <v>109.271</v>
      </c>
      <c r="F10" s="21">
        <v>12</v>
      </c>
      <c r="G10" s="21">
        <v>2021</v>
      </c>
      <c r="H10" s="21">
        <v>117.30800000000001</v>
      </c>
      <c r="I10" s="22">
        <f t="shared" si="0"/>
        <v>1.0734999999999999</v>
      </c>
      <c r="J10" s="22">
        <f t="shared" si="1"/>
        <v>7.3499999999999899E-2</v>
      </c>
      <c r="K10" s="23">
        <f t="shared" si="3"/>
        <v>0</v>
      </c>
      <c r="L10" s="23">
        <f>L9+K10</f>
        <v>0</v>
      </c>
      <c r="T10" s="18">
        <v>2020</v>
      </c>
      <c r="U10" s="28">
        <f>L9</f>
        <v>0</v>
      </c>
    </row>
    <row r="11" spans="1:21" x14ac:dyDescent="0.2">
      <c r="A11" s="19">
        <v>44926</v>
      </c>
      <c r="B11" s="20" t="s">
        <v>32</v>
      </c>
      <c r="C11" s="21">
        <f t="shared" si="2"/>
        <v>12</v>
      </c>
      <c r="D11" s="21">
        <f t="shared" si="2"/>
        <v>2021</v>
      </c>
      <c r="E11" s="21">
        <f t="shared" si="2"/>
        <v>117.30800000000001</v>
      </c>
      <c r="F11" s="21">
        <v>12</v>
      </c>
      <c r="G11" s="21">
        <v>2022</v>
      </c>
      <c r="H11" s="21">
        <v>126.47799999999999</v>
      </c>
      <c r="I11" s="22">
        <f t="shared" si="0"/>
        <v>1.0781000000000001</v>
      </c>
      <c r="J11" s="22">
        <f t="shared" si="1"/>
        <v>7.8100000000000058E-2</v>
      </c>
      <c r="K11" s="23">
        <f t="shared" si="3"/>
        <v>0</v>
      </c>
      <c r="L11" s="23">
        <f>L10+K11</f>
        <v>0</v>
      </c>
      <c r="T11" s="18">
        <v>2021</v>
      </c>
      <c r="U11" s="28">
        <f>L10+L20</f>
        <v>0</v>
      </c>
    </row>
    <row r="12" spans="1:21" x14ac:dyDescent="0.2">
      <c r="A12" s="19">
        <v>45291</v>
      </c>
      <c r="B12" s="20" t="s">
        <v>33</v>
      </c>
      <c r="C12" s="21">
        <f t="shared" si="2"/>
        <v>12</v>
      </c>
      <c r="D12" s="21">
        <f t="shared" si="2"/>
        <v>2022</v>
      </c>
      <c r="E12" s="21">
        <f t="shared" si="2"/>
        <v>126.47799999999999</v>
      </c>
      <c r="F12" s="21">
        <v>12</v>
      </c>
      <c r="G12" s="21">
        <v>2023</v>
      </c>
      <c r="H12" s="21">
        <v>132.37299999999999</v>
      </c>
      <c r="I12" s="22">
        <f t="shared" si="0"/>
        <v>1.0466</v>
      </c>
      <c r="J12" s="22">
        <f t="shared" si="1"/>
        <v>4.6599999999999975E-2</v>
      </c>
      <c r="K12" s="23">
        <f t="shared" si="3"/>
        <v>0</v>
      </c>
      <c r="L12" s="23">
        <f>L11+K12</f>
        <v>0</v>
      </c>
      <c r="T12" s="18">
        <v>2022</v>
      </c>
      <c r="U12" s="28">
        <f>L11+L21+L30</f>
        <v>416</v>
      </c>
    </row>
    <row r="13" spans="1:21" x14ac:dyDescent="0.2">
      <c r="T13" s="18">
        <v>2023</v>
      </c>
      <c r="U13" s="28">
        <f>L12+L22+L31</f>
        <v>435</v>
      </c>
    </row>
    <row r="14" spans="1:21" x14ac:dyDescent="0.2">
      <c r="T14" s="18">
        <v>2024</v>
      </c>
    </row>
    <row r="17" spans="1:20" x14ac:dyDescent="0.2">
      <c r="A17" s="18" t="s">
        <v>74</v>
      </c>
    </row>
    <row r="18" spans="1:20" ht="25.5" x14ac:dyDescent="0.2">
      <c r="A18" s="2" t="s">
        <v>1</v>
      </c>
      <c r="B18" s="2" t="s">
        <v>2</v>
      </c>
      <c r="C18" s="2" t="s">
        <v>3</v>
      </c>
      <c r="D18" s="2" t="s">
        <v>4</v>
      </c>
      <c r="E18" s="2" t="s">
        <v>5</v>
      </c>
      <c r="F18" s="2" t="s">
        <v>21</v>
      </c>
      <c r="G18" s="2" t="s">
        <v>22</v>
      </c>
      <c r="H18" s="2" t="s">
        <v>6</v>
      </c>
      <c r="I18" s="2" t="s">
        <v>7</v>
      </c>
      <c r="J18" s="2" t="s">
        <v>8</v>
      </c>
      <c r="K18" s="2" t="s">
        <v>34</v>
      </c>
      <c r="L18" s="2" t="s">
        <v>9</v>
      </c>
      <c r="N18" s="18" t="s">
        <v>131</v>
      </c>
    </row>
    <row r="19" spans="1:20" x14ac:dyDescent="0.2">
      <c r="A19" s="58" t="s">
        <v>35</v>
      </c>
      <c r="B19" s="59" t="s">
        <v>105</v>
      </c>
      <c r="C19" s="21"/>
      <c r="D19" s="21"/>
      <c r="E19" s="21"/>
      <c r="F19" s="21"/>
      <c r="G19" s="21"/>
      <c r="H19" s="21"/>
      <c r="I19" s="22"/>
      <c r="J19" s="22"/>
      <c r="K19" s="23"/>
      <c r="L19" s="23">
        <f>O21</f>
        <v>0</v>
      </c>
      <c r="N19" s="77" t="s">
        <v>127</v>
      </c>
      <c r="O19" s="78">
        <v>36636</v>
      </c>
    </row>
    <row r="20" spans="1:20" x14ac:dyDescent="0.2">
      <c r="A20" s="19">
        <v>44561</v>
      </c>
      <c r="B20" s="20" t="s">
        <v>31</v>
      </c>
      <c r="C20" s="21">
        <v>7</v>
      </c>
      <c r="D20" s="21">
        <v>2021</v>
      </c>
      <c r="E20" s="21">
        <v>113.682</v>
      </c>
      <c r="F20" s="21">
        <v>12</v>
      </c>
      <c r="G20" s="21">
        <v>2021</v>
      </c>
      <c r="H20" s="21">
        <v>117.30800000000001</v>
      </c>
      <c r="I20" s="22">
        <f>TRUNC(H20/E20,4)</f>
        <v>1.0318000000000001</v>
      </c>
      <c r="J20" s="22">
        <f>I20-1</f>
        <v>3.180000000000005E-2</v>
      </c>
      <c r="K20" s="23">
        <f>ROUND(L19*J20,0)</f>
        <v>0</v>
      </c>
      <c r="L20" s="23">
        <f>L19+K20</f>
        <v>0</v>
      </c>
      <c r="N20" s="74" t="s">
        <v>129</v>
      </c>
      <c r="O20" s="75">
        <f>Perdidas!M12+Perdidas!M24+Perdidas!M33</f>
        <v>36636</v>
      </c>
    </row>
    <row r="21" spans="1:20" x14ac:dyDescent="0.2">
      <c r="A21" s="19">
        <v>44926</v>
      </c>
      <c r="B21" s="20" t="s">
        <v>32</v>
      </c>
      <c r="C21" s="21">
        <f t="shared" ref="C21:C22" si="4">F20</f>
        <v>12</v>
      </c>
      <c r="D21" s="21">
        <f t="shared" ref="D21:D22" si="5">G20</f>
        <v>2021</v>
      </c>
      <c r="E21" s="21">
        <f t="shared" ref="E21:E22" si="6">H20</f>
        <v>117.30800000000001</v>
      </c>
      <c r="F21" s="21">
        <v>12</v>
      </c>
      <c r="G21" s="21">
        <v>2022</v>
      </c>
      <c r="H21" s="21">
        <v>126.47799999999999</v>
      </c>
      <c r="I21" s="22">
        <f t="shared" ref="I21:I22" si="7">TRUNC(H21/E21,4)</f>
        <v>1.0781000000000001</v>
      </c>
      <c r="J21" s="22">
        <f t="shared" ref="J21:J22" si="8">I21-1</f>
        <v>7.8100000000000058E-2</v>
      </c>
      <c r="K21" s="23">
        <f t="shared" ref="K21:K22" si="9">ROUND(L20*J21,0)</f>
        <v>0</v>
      </c>
      <c r="L21" s="23">
        <f>L20+K21</f>
        <v>0</v>
      </c>
      <c r="O21" s="28">
        <f>O19-O20</f>
        <v>0</v>
      </c>
    </row>
    <row r="22" spans="1:20" x14ac:dyDescent="0.2">
      <c r="A22" s="19">
        <v>45291</v>
      </c>
      <c r="B22" s="20" t="s">
        <v>33</v>
      </c>
      <c r="C22" s="21">
        <f t="shared" si="4"/>
        <v>12</v>
      </c>
      <c r="D22" s="21">
        <f t="shared" si="5"/>
        <v>2022</v>
      </c>
      <c r="E22" s="21">
        <f t="shared" si="6"/>
        <v>126.47799999999999</v>
      </c>
      <c r="F22" s="21">
        <v>12</v>
      </c>
      <c r="G22" s="21">
        <v>2023</v>
      </c>
      <c r="H22" s="21">
        <v>132.37299999999999</v>
      </c>
      <c r="I22" s="22">
        <f t="shared" si="7"/>
        <v>1.0466</v>
      </c>
      <c r="J22" s="22">
        <f t="shared" si="8"/>
        <v>4.6599999999999975E-2</v>
      </c>
      <c r="K22" s="23">
        <f t="shared" si="9"/>
        <v>0</v>
      </c>
      <c r="L22" s="23">
        <f>L21+K22</f>
        <v>0</v>
      </c>
    </row>
    <row r="27" spans="1:20" x14ac:dyDescent="0.2">
      <c r="A27" s="18" t="s">
        <v>76</v>
      </c>
    </row>
    <row r="28" spans="1:20" ht="25.5" x14ac:dyDescent="0.2">
      <c r="A28" s="2" t="s">
        <v>1</v>
      </c>
      <c r="B28" s="2" t="s">
        <v>2</v>
      </c>
      <c r="C28" s="2" t="s">
        <v>3</v>
      </c>
      <c r="D28" s="2" t="s">
        <v>4</v>
      </c>
      <c r="E28" s="2" t="s">
        <v>5</v>
      </c>
      <c r="F28" s="2" t="s">
        <v>21</v>
      </c>
      <c r="G28" s="2" t="s">
        <v>22</v>
      </c>
      <c r="H28" s="2" t="s">
        <v>6</v>
      </c>
      <c r="I28" s="2" t="s">
        <v>7</v>
      </c>
      <c r="J28" s="2" t="s">
        <v>8</v>
      </c>
      <c r="K28" s="2" t="s">
        <v>34</v>
      </c>
      <c r="L28" s="2" t="s">
        <v>9</v>
      </c>
      <c r="N28" s="18" t="s">
        <v>134</v>
      </c>
      <c r="S28" s="73" t="s">
        <v>127</v>
      </c>
      <c r="T28" s="17">
        <v>37441</v>
      </c>
    </row>
    <row r="29" spans="1:20" x14ac:dyDescent="0.2">
      <c r="A29" s="60" t="s">
        <v>35</v>
      </c>
      <c r="B29" s="61" t="s">
        <v>106</v>
      </c>
      <c r="C29" s="21"/>
      <c r="D29" s="21"/>
      <c r="E29" s="21"/>
      <c r="F29" s="21"/>
      <c r="G29" s="21"/>
      <c r="H29" s="21"/>
      <c r="I29" s="22"/>
      <c r="J29" s="22"/>
      <c r="K29" s="23"/>
      <c r="L29" s="23">
        <f>O33</f>
        <v>404</v>
      </c>
      <c r="N29" s="77" t="s">
        <v>127</v>
      </c>
      <c r="O29" s="78">
        <v>37441</v>
      </c>
      <c r="S29" s="73" t="s">
        <v>128</v>
      </c>
      <c r="T29" s="17">
        <v>2806</v>
      </c>
    </row>
    <row r="30" spans="1:20" x14ac:dyDescent="0.2">
      <c r="A30" s="19">
        <v>44926</v>
      </c>
      <c r="B30" s="20" t="s">
        <v>32</v>
      </c>
      <c r="C30" s="21">
        <v>7</v>
      </c>
      <c r="D30" s="21">
        <v>2022</v>
      </c>
      <c r="E30" s="21">
        <v>122.94799999999999</v>
      </c>
      <c r="F30" s="21">
        <v>12</v>
      </c>
      <c r="G30" s="21">
        <v>2022</v>
      </c>
      <c r="H30" s="21">
        <v>126.47799999999999</v>
      </c>
      <c r="I30" s="22">
        <f t="shared" ref="I30:I31" si="10">TRUNC(H30/E30,4)</f>
        <v>1.0286999999999999</v>
      </c>
      <c r="J30" s="22">
        <f t="shared" ref="J30:J31" si="11">I30-1</f>
        <v>2.8699999999999948E-2</v>
      </c>
      <c r="K30" s="23">
        <f>ROUND(L29*J30,0)</f>
        <v>12</v>
      </c>
      <c r="L30" s="23">
        <f>L29+K30</f>
        <v>416</v>
      </c>
      <c r="N30" s="74" t="s">
        <v>129</v>
      </c>
      <c r="O30" s="75">
        <f>ROUND(Perdidas!M34,0)</f>
        <v>34231</v>
      </c>
    </row>
    <row r="31" spans="1:20" x14ac:dyDescent="0.2">
      <c r="A31" s="19">
        <v>45291</v>
      </c>
      <c r="B31" s="20" t="s">
        <v>33</v>
      </c>
      <c r="C31" s="21">
        <f t="shared" ref="C31" si="12">F30</f>
        <v>12</v>
      </c>
      <c r="D31" s="21">
        <f t="shared" ref="D31" si="13">G30</f>
        <v>2022</v>
      </c>
      <c r="E31" s="21">
        <f t="shared" ref="E31" si="14">H30</f>
        <v>126.47799999999999</v>
      </c>
      <c r="F31" s="21">
        <v>12</v>
      </c>
      <c r="G31" s="21">
        <v>2023</v>
      </c>
      <c r="H31" s="21">
        <v>132.37299999999999</v>
      </c>
      <c r="I31" s="22">
        <f t="shared" si="10"/>
        <v>1.0466</v>
      </c>
      <c r="J31" s="22">
        <f t="shared" si="11"/>
        <v>4.6599999999999975E-2</v>
      </c>
      <c r="K31" s="23">
        <f>ROUND(L30*J31,0)</f>
        <v>19</v>
      </c>
      <c r="L31" s="23">
        <f>L30+K31</f>
        <v>435</v>
      </c>
      <c r="O31" s="28">
        <f>O29-O30</f>
        <v>3210</v>
      </c>
    </row>
    <row r="32" spans="1:20" x14ac:dyDescent="0.2">
      <c r="N32" s="74" t="s">
        <v>132</v>
      </c>
      <c r="O32" s="75">
        <v>2806</v>
      </c>
    </row>
    <row r="33" spans="14:16" x14ac:dyDescent="0.2">
      <c r="N33" s="76" t="s">
        <v>133</v>
      </c>
      <c r="O33" s="28">
        <f>O31-O32</f>
        <v>404</v>
      </c>
    </row>
    <row r="36" spans="14:16" x14ac:dyDescent="0.2">
      <c r="N36" s="18" t="s">
        <v>137</v>
      </c>
      <c r="O36" s="28">
        <v>-8116</v>
      </c>
      <c r="P36" s="8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54189-872A-4F66-83A4-9EAF8A401CCB}">
  <sheetPr>
    <tabColor theme="4" tint="-0.249977111117893"/>
  </sheetPr>
  <dimension ref="A2:I13"/>
  <sheetViews>
    <sheetView workbookViewId="0">
      <selection activeCell="G8" sqref="G8"/>
    </sheetView>
  </sheetViews>
  <sheetFormatPr baseColWidth="10" defaultRowHeight="12.75" x14ac:dyDescent="0.2"/>
  <cols>
    <col min="1" max="1" width="11.5703125" style="30" bestFit="1" customWidth="1"/>
    <col min="2" max="16384" width="11.42578125" style="30"/>
  </cols>
  <sheetData>
    <row r="2" spans="1:9" x14ac:dyDescent="0.2">
      <c r="A2" s="18" t="s">
        <v>58</v>
      </c>
    </row>
    <row r="4" spans="1:9" x14ac:dyDescent="0.2">
      <c r="B4" s="18" t="s">
        <v>66</v>
      </c>
    </row>
    <row r="5" spans="1:9" x14ac:dyDescent="0.2">
      <c r="A5" s="34" t="s">
        <v>65</v>
      </c>
      <c r="B5" s="34">
        <v>2016</v>
      </c>
      <c r="C5" s="34">
        <v>2017</v>
      </c>
      <c r="D5" s="34">
        <v>2018</v>
      </c>
      <c r="E5" s="34">
        <v>2019</v>
      </c>
      <c r="F5" s="34">
        <v>2020</v>
      </c>
      <c r="G5" s="34">
        <v>2021</v>
      </c>
      <c r="H5" s="34">
        <v>2022</v>
      </c>
      <c r="I5" s="34">
        <v>2023</v>
      </c>
    </row>
    <row r="6" spans="1:9" x14ac:dyDescent="0.2">
      <c r="A6" s="32" t="s">
        <v>59</v>
      </c>
      <c r="B6" s="33">
        <f>Perdidas!N7</f>
        <v>16247</v>
      </c>
      <c r="C6" s="33">
        <f>Perdidas!N8</f>
        <v>17346.919999999998</v>
      </c>
      <c r="D6" s="33">
        <f>Perdidas!N9</f>
        <v>18184.78</v>
      </c>
      <c r="E6" s="33">
        <f>Perdidas!N10</f>
        <v>18592.59</v>
      </c>
      <c r="F6" s="33">
        <f>Perdidas!N11</f>
        <v>19178.259999999998</v>
      </c>
      <c r="G6" s="33">
        <f>Perdidas!N12</f>
        <v>0</v>
      </c>
      <c r="H6" s="33">
        <f>Perdidas!N13</f>
        <v>0</v>
      </c>
      <c r="I6" s="33">
        <f>Perdidas!N14</f>
        <v>0</v>
      </c>
    </row>
    <row r="7" spans="1:9" x14ac:dyDescent="0.2">
      <c r="A7" s="32" t="s">
        <v>60</v>
      </c>
      <c r="B7" s="35"/>
      <c r="C7" s="33">
        <f>Perdidas!N20</f>
        <v>1133.99</v>
      </c>
      <c r="D7" s="33">
        <f>Perdidas!N21</f>
        <v>1188.76</v>
      </c>
      <c r="E7" s="33">
        <f>Perdidas!N22</f>
        <v>1222.28</v>
      </c>
      <c r="F7" s="33">
        <f>Perdidas!N23</f>
        <v>1260.78</v>
      </c>
      <c r="G7" s="33">
        <f>Perdidas!N24</f>
        <v>0</v>
      </c>
      <c r="H7" s="33">
        <f>Perdidas!N25</f>
        <v>0</v>
      </c>
      <c r="I7" s="33">
        <f>Perdidas!N26</f>
        <v>0</v>
      </c>
    </row>
    <row r="8" spans="1:9" x14ac:dyDescent="0.2">
      <c r="A8" s="32" t="s">
        <v>61</v>
      </c>
      <c r="B8" s="35"/>
      <c r="C8" s="35"/>
      <c r="D8" s="35"/>
      <c r="E8" s="35"/>
      <c r="F8" s="33">
        <f>Perdidas!N32</f>
        <v>43266.23</v>
      </c>
      <c r="G8" s="33">
        <f>Perdidas!N33</f>
        <v>31751.61</v>
      </c>
      <c r="H8" s="33">
        <f>Perdidas!N34</f>
        <v>0</v>
      </c>
      <c r="I8" s="33">
        <f>Perdidas!N35</f>
        <v>0</v>
      </c>
    </row>
    <row r="9" spans="1:9" x14ac:dyDescent="0.2">
      <c r="A9" s="32" t="s">
        <v>62</v>
      </c>
      <c r="B9" s="35"/>
      <c r="C9" s="35"/>
      <c r="D9" s="35"/>
      <c r="E9" s="35"/>
      <c r="F9" s="33">
        <v>0</v>
      </c>
      <c r="G9" s="33">
        <v>0</v>
      </c>
      <c r="H9" s="33">
        <v>0</v>
      </c>
      <c r="I9" s="33"/>
    </row>
    <row r="10" spans="1:9" x14ac:dyDescent="0.2">
      <c r="A10" s="32" t="s">
        <v>63</v>
      </c>
      <c r="B10" s="35"/>
      <c r="C10" s="35"/>
      <c r="D10" s="35"/>
      <c r="E10" s="35"/>
      <c r="F10" s="33">
        <v>0</v>
      </c>
      <c r="G10" s="33">
        <v>0</v>
      </c>
      <c r="H10" s="33">
        <v>0</v>
      </c>
      <c r="I10" s="33"/>
    </row>
    <row r="11" spans="1:9" x14ac:dyDescent="0.2">
      <c r="A11" s="32" t="s">
        <v>64</v>
      </c>
      <c r="B11" s="35"/>
      <c r="C11" s="35"/>
      <c r="D11" s="35"/>
      <c r="E11" s="35"/>
      <c r="F11" s="33">
        <v>0</v>
      </c>
      <c r="G11" s="33">
        <v>0</v>
      </c>
      <c r="H11" s="33">
        <v>0</v>
      </c>
      <c r="I11" s="33"/>
    </row>
    <row r="12" spans="1:9" x14ac:dyDescent="0.2">
      <c r="B12" s="31"/>
      <c r="C12" s="31"/>
      <c r="D12" s="31"/>
      <c r="E12" s="31"/>
      <c r="F12" s="31"/>
      <c r="G12" s="31"/>
      <c r="H12" s="31"/>
      <c r="I12" s="31"/>
    </row>
    <row r="13" spans="1:9" x14ac:dyDescent="0.2">
      <c r="A13" s="34" t="s">
        <v>67</v>
      </c>
      <c r="B13" s="36">
        <f>SUM(B6:B12)</f>
        <v>16247</v>
      </c>
      <c r="C13" s="36">
        <f t="shared" ref="C13:I13" si="0">SUM(C6:C12)</f>
        <v>18480.91</v>
      </c>
      <c r="D13" s="36">
        <f t="shared" si="0"/>
        <v>19373.539999999997</v>
      </c>
      <c r="E13" s="36">
        <f t="shared" si="0"/>
        <v>19814.87</v>
      </c>
      <c r="F13" s="36">
        <f t="shared" si="0"/>
        <v>63705.270000000004</v>
      </c>
      <c r="G13" s="36">
        <f t="shared" si="0"/>
        <v>31751.61</v>
      </c>
      <c r="H13" s="36">
        <f t="shared" si="0"/>
        <v>0</v>
      </c>
      <c r="I13" s="36">
        <f t="shared" si="0"/>
        <v>0</v>
      </c>
    </row>
  </sheetData>
  <phoneticPr fontId="2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09F97-A027-4395-B8D8-39E18CB8A3F4}">
  <sheetPr>
    <tabColor theme="4" tint="-0.249977111117893"/>
  </sheetPr>
  <dimension ref="A1:O44"/>
  <sheetViews>
    <sheetView tabSelected="1" topLeftCell="A15" workbookViewId="0">
      <selection activeCell="N42" sqref="N42"/>
    </sheetView>
  </sheetViews>
  <sheetFormatPr baseColWidth="10" defaultRowHeight="12.75" x14ac:dyDescent="0.2"/>
  <cols>
    <col min="1" max="1" width="10.42578125" style="17" bestFit="1" customWidth="1"/>
    <col min="2" max="2" width="19.5703125" style="17" customWidth="1"/>
    <col min="3" max="3" width="7.42578125" style="17" customWidth="1"/>
    <col min="4" max="4" width="5.5703125" style="17" customWidth="1"/>
    <col min="5" max="5" width="11.7109375" style="17" customWidth="1"/>
    <col min="6" max="6" width="7.42578125" style="17" customWidth="1"/>
    <col min="7" max="7" width="5.5703125" style="17" bestFit="1" customWidth="1"/>
    <col min="8" max="8" width="11.7109375" style="17" customWidth="1"/>
    <col min="9" max="10" width="10.7109375" style="17" customWidth="1"/>
    <col min="11" max="14" width="11.7109375" style="17" customWidth="1"/>
    <col min="15" max="16384" width="11.42578125" style="17"/>
  </cols>
  <sheetData>
    <row r="1" spans="1:14" x14ac:dyDescent="0.2">
      <c r="A1" s="3" t="s">
        <v>0</v>
      </c>
    </row>
    <row r="2" spans="1:14" x14ac:dyDescent="0.2">
      <c r="A2" s="3"/>
    </row>
    <row r="3" spans="1:14" x14ac:dyDescent="0.2">
      <c r="A3" s="3"/>
    </row>
    <row r="4" spans="1:14" x14ac:dyDescent="0.2">
      <c r="A4" s="18" t="s">
        <v>36</v>
      </c>
    </row>
    <row r="5" spans="1:14" ht="25.5" x14ac:dyDescent="0.2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21</v>
      </c>
      <c r="G5" s="2" t="s">
        <v>22</v>
      </c>
      <c r="H5" s="2" t="s">
        <v>6</v>
      </c>
      <c r="I5" s="2" t="s">
        <v>7</v>
      </c>
      <c r="J5" s="2" t="s">
        <v>8</v>
      </c>
      <c r="K5" s="2" t="s">
        <v>34</v>
      </c>
      <c r="L5" s="2" t="s">
        <v>9</v>
      </c>
      <c r="M5" s="2" t="s">
        <v>68</v>
      </c>
      <c r="N5" s="2" t="s">
        <v>69</v>
      </c>
    </row>
    <row r="6" spans="1:14" x14ac:dyDescent="0.2">
      <c r="A6" s="19" t="s">
        <v>35</v>
      </c>
      <c r="B6" s="20" t="s">
        <v>37</v>
      </c>
      <c r="C6" s="21"/>
      <c r="D6" s="21"/>
      <c r="E6" s="21"/>
      <c r="F6" s="21"/>
      <c r="G6" s="21"/>
      <c r="H6" s="21"/>
      <c r="I6" s="22"/>
      <c r="J6" s="22"/>
      <c r="K6" s="23"/>
      <c r="L6" s="23">
        <v>16048</v>
      </c>
      <c r="M6" s="23"/>
      <c r="N6" s="23">
        <f>L6-M6</f>
        <v>16048</v>
      </c>
    </row>
    <row r="7" spans="1:14" x14ac:dyDescent="0.2">
      <c r="A7" s="19">
        <v>42735</v>
      </c>
      <c r="B7" s="20" t="s">
        <v>26</v>
      </c>
      <c r="C7" s="21">
        <v>10</v>
      </c>
      <c r="D7" s="21">
        <v>2016</v>
      </c>
      <c r="E7" s="21">
        <v>90.906154000000001</v>
      </c>
      <c r="F7" s="21">
        <v>12</v>
      </c>
      <c r="G7" s="21">
        <v>2016</v>
      </c>
      <c r="H7" s="21">
        <v>92.039034999999998</v>
      </c>
      <c r="I7" s="22">
        <f>TRUNC(H7/E7,4)</f>
        <v>1.0124</v>
      </c>
      <c r="J7" s="22">
        <f>I7-1</f>
        <v>1.2399999999999967E-2</v>
      </c>
      <c r="K7" s="23">
        <f t="shared" ref="K7:K14" si="0">ROUND(N6*J7,2)</f>
        <v>199</v>
      </c>
      <c r="L7" s="23">
        <f>N6+K7</f>
        <v>16247</v>
      </c>
      <c r="M7" s="23"/>
      <c r="N7" s="23">
        <f>L7-M7</f>
        <v>16247</v>
      </c>
    </row>
    <row r="8" spans="1:14" x14ac:dyDescent="0.2">
      <c r="A8" s="19">
        <v>43100</v>
      </c>
      <c r="B8" s="20" t="s">
        <v>27</v>
      </c>
      <c r="C8" s="21">
        <f>F7</f>
        <v>12</v>
      </c>
      <c r="D8" s="21">
        <f>G7</f>
        <v>2016</v>
      </c>
      <c r="E8" s="21">
        <f>H7</f>
        <v>92.039034999999998</v>
      </c>
      <c r="F8" s="21">
        <v>12</v>
      </c>
      <c r="G8" s="21">
        <v>2017</v>
      </c>
      <c r="H8" s="21">
        <v>98.272882999999993</v>
      </c>
      <c r="I8" s="22">
        <f t="shared" ref="I8:I14" si="1">TRUNC(H8/E8,4)</f>
        <v>1.0677000000000001</v>
      </c>
      <c r="J8" s="22">
        <f>I8-1</f>
        <v>6.7700000000000093E-2</v>
      </c>
      <c r="K8" s="23">
        <f t="shared" si="0"/>
        <v>1099.92</v>
      </c>
      <c r="L8" s="23">
        <f>N7+K8</f>
        <v>17346.919999999998</v>
      </c>
      <c r="M8" s="23"/>
      <c r="N8" s="23">
        <f t="shared" ref="N8:N14" si="2">L8-M8</f>
        <v>17346.919999999998</v>
      </c>
    </row>
    <row r="9" spans="1:14" x14ac:dyDescent="0.2">
      <c r="A9" s="19">
        <v>43465</v>
      </c>
      <c r="B9" s="20" t="s">
        <v>28</v>
      </c>
      <c r="C9" s="21">
        <f t="shared" ref="C9:E14" si="3">F8</f>
        <v>12</v>
      </c>
      <c r="D9" s="21">
        <f t="shared" si="3"/>
        <v>2017</v>
      </c>
      <c r="E9" s="21">
        <f t="shared" si="3"/>
        <v>98.272882999999993</v>
      </c>
      <c r="F9" s="21">
        <v>12</v>
      </c>
      <c r="G9" s="21">
        <v>2018</v>
      </c>
      <c r="H9" s="21">
        <v>103.02</v>
      </c>
      <c r="I9" s="22">
        <f t="shared" si="1"/>
        <v>1.0483</v>
      </c>
      <c r="J9" s="22">
        <f>I9-1</f>
        <v>4.830000000000001E-2</v>
      </c>
      <c r="K9" s="23">
        <f t="shared" si="0"/>
        <v>837.86</v>
      </c>
      <c r="L9" s="23">
        <f t="shared" ref="L9:L13" si="4">N8+K9</f>
        <v>18184.78</v>
      </c>
      <c r="M9" s="23"/>
      <c r="N9" s="23">
        <f t="shared" si="2"/>
        <v>18184.78</v>
      </c>
    </row>
    <row r="10" spans="1:14" x14ac:dyDescent="0.2">
      <c r="A10" s="19">
        <v>43830</v>
      </c>
      <c r="B10" s="20" t="s">
        <v>29</v>
      </c>
      <c r="C10" s="21">
        <f t="shared" si="3"/>
        <v>12</v>
      </c>
      <c r="D10" s="21">
        <f t="shared" si="3"/>
        <v>2018</v>
      </c>
      <c r="E10" s="21">
        <f t="shared" si="3"/>
        <v>103.02</v>
      </c>
      <c r="F10" s="21">
        <v>12</v>
      </c>
      <c r="G10" s="21">
        <v>2019</v>
      </c>
      <c r="H10" s="21">
        <v>105.934</v>
      </c>
      <c r="I10" s="22">
        <f t="shared" si="1"/>
        <v>1.0282</v>
      </c>
      <c r="J10" s="22">
        <f t="shared" ref="J10:J14" si="5">I10-1</f>
        <v>2.8200000000000003E-2</v>
      </c>
      <c r="K10" s="23">
        <f t="shared" si="0"/>
        <v>512.80999999999995</v>
      </c>
      <c r="L10" s="23">
        <f t="shared" si="4"/>
        <v>18697.59</v>
      </c>
      <c r="M10" s="37">
        <v>105</v>
      </c>
      <c r="N10" s="23">
        <f>L10-M10</f>
        <v>18592.59</v>
      </c>
    </row>
    <row r="11" spans="1:14" x14ac:dyDescent="0.2">
      <c r="A11" s="19">
        <v>44196</v>
      </c>
      <c r="B11" s="20" t="s">
        <v>30</v>
      </c>
      <c r="C11" s="21">
        <f t="shared" si="3"/>
        <v>12</v>
      </c>
      <c r="D11" s="21">
        <f t="shared" si="3"/>
        <v>2019</v>
      </c>
      <c r="E11" s="21">
        <f t="shared" si="3"/>
        <v>105.934</v>
      </c>
      <c r="F11" s="21">
        <v>12</v>
      </c>
      <c r="G11" s="21">
        <v>2020</v>
      </c>
      <c r="H11" s="21">
        <v>109.271</v>
      </c>
      <c r="I11" s="22">
        <f t="shared" si="1"/>
        <v>1.0315000000000001</v>
      </c>
      <c r="J11" s="22">
        <f t="shared" si="5"/>
        <v>3.1500000000000083E-2</v>
      </c>
      <c r="K11" s="23">
        <f t="shared" si="0"/>
        <v>585.66999999999996</v>
      </c>
      <c r="L11" s="23">
        <f>N10+K11</f>
        <v>19178.259999999998</v>
      </c>
      <c r="M11" s="23"/>
      <c r="N11" s="23">
        <f t="shared" si="2"/>
        <v>19178.259999999998</v>
      </c>
    </row>
    <row r="12" spans="1:14" x14ac:dyDescent="0.2">
      <c r="A12" s="19">
        <v>44561</v>
      </c>
      <c r="B12" s="20" t="s">
        <v>31</v>
      </c>
      <c r="C12" s="21">
        <f t="shared" si="3"/>
        <v>12</v>
      </c>
      <c r="D12" s="21">
        <f t="shared" si="3"/>
        <v>2020</v>
      </c>
      <c r="E12" s="21">
        <f t="shared" si="3"/>
        <v>109.271</v>
      </c>
      <c r="F12" s="21">
        <v>12</v>
      </c>
      <c r="G12" s="21">
        <v>2021</v>
      </c>
      <c r="H12" s="21">
        <v>117.30800000000001</v>
      </c>
      <c r="I12" s="22">
        <f t="shared" si="1"/>
        <v>1.0734999999999999</v>
      </c>
      <c r="J12" s="22">
        <f t="shared" si="5"/>
        <v>7.3499999999999899E-2</v>
      </c>
      <c r="K12" s="23">
        <f t="shared" si="0"/>
        <v>1409.6</v>
      </c>
      <c r="L12" s="23">
        <f t="shared" si="4"/>
        <v>20587.859999999997</v>
      </c>
      <c r="M12" s="62">
        <v>20587.86</v>
      </c>
      <c r="N12" s="23">
        <f t="shared" si="2"/>
        <v>0</v>
      </c>
    </row>
    <row r="13" spans="1:14" x14ac:dyDescent="0.2">
      <c r="A13" s="19">
        <v>44926</v>
      </c>
      <c r="B13" s="20" t="s">
        <v>32</v>
      </c>
      <c r="C13" s="21">
        <f t="shared" si="3"/>
        <v>12</v>
      </c>
      <c r="D13" s="21">
        <f t="shared" si="3"/>
        <v>2021</v>
      </c>
      <c r="E13" s="21">
        <f t="shared" si="3"/>
        <v>117.30800000000001</v>
      </c>
      <c r="F13" s="21">
        <v>12</v>
      </c>
      <c r="G13" s="21">
        <v>2022</v>
      </c>
      <c r="H13" s="21">
        <v>126.47799999999999</v>
      </c>
      <c r="I13" s="22">
        <f t="shared" si="1"/>
        <v>1.0781000000000001</v>
      </c>
      <c r="J13" s="22">
        <f t="shared" si="5"/>
        <v>7.8100000000000058E-2</v>
      </c>
      <c r="K13" s="23">
        <f t="shared" si="0"/>
        <v>0</v>
      </c>
      <c r="L13" s="23">
        <f t="shared" si="4"/>
        <v>0</v>
      </c>
      <c r="M13" s="23"/>
      <c r="N13" s="23">
        <f t="shared" si="2"/>
        <v>0</v>
      </c>
    </row>
    <row r="14" spans="1:14" x14ac:dyDescent="0.2">
      <c r="A14" s="19">
        <v>45291</v>
      </c>
      <c r="B14" s="20" t="s">
        <v>33</v>
      </c>
      <c r="C14" s="21">
        <f t="shared" si="3"/>
        <v>12</v>
      </c>
      <c r="D14" s="21">
        <f t="shared" si="3"/>
        <v>2022</v>
      </c>
      <c r="E14" s="21">
        <f t="shared" si="3"/>
        <v>126.47799999999999</v>
      </c>
      <c r="F14" s="21">
        <v>12</v>
      </c>
      <c r="G14" s="21">
        <v>2023</v>
      </c>
      <c r="H14" s="21">
        <v>132.37299999999999</v>
      </c>
      <c r="I14" s="22">
        <f t="shared" si="1"/>
        <v>1.0466</v>
      </c>
      <c r="J14" s="22">
        <f t="shared" si="5"/>
        <v>4.6599999999999975E-2</v>
      </c>
      <c r="K14" s="23">
        <f t="shared" si="0"/>
        <v>0</v>
      </c>
      <c r="L14" s="23">
        <f>N13+K14</f>
        <v>0</v>
      </c>
      <c r="M14" s="23"/>
      <c r="N14" s="23">
        <f t="shared" si="2"/>
        <v>0</v>
      </c>
    </row>
    <row r="17" spans="1:14" x14ac:dyDescent="0.2">
      <c r="A17" s="18" t="s">
        <v>38</v>
      </c>
    </row>
    <row r="18" spans="1:14" ht="25.5" x14ac:dyDescent="0.2">
      <c r="A18" s="2" t="s">
        <v>1</v>
      </c>
      <c r="B18" s="2" t="s">
        <v>2</v>
      </c>
      <c r="C18" s="2" t="s">
        <v>3</v>
      </c>
      <c r="D18" s="2" t="s">
        <v>4</v>
      </c>
      <c r="E18" s="2" t="s">
        <v>5</v>
      </c>
      <c r="F18" s="2" t="s">
        <v>21</v>
      </c>
      <c r="G18" s="2" t="s">
        <v>22</v>
      </c>
      <c r="H18" s="2" t="s">
        <v>6</v>
      </c>
      <c r="I18" s="2" t="s">
        <v>7</v>
      </c>
      <c r="J18" s="2" t="s">
        <v>8</v>
      </c>
      <c r="K18" s="2" t="s">
        <v>34</v>
      </c>
      <c r="L18" s="2" t="s">
        <v>9</v>
      </c>
      <c r="M18" s="2" t="s">
        <v>68</v>
      </c>
      <c r="N18" s="2" t="s">
        <v>69</v>
      </c>
    </row>
    <row r="19" spans="1:14" x14ac:dyDescent="0.2">
      <c r="A19" s="19" t="s">
        <v>35</v>
      </c>
      <c r="B19" s="20" t="s">
        <v>39</v>
      </c>
      <c r="C19" s="21"/>
      <c r="D19" s="21"/>
      <c r="E19" s="21"/>
      <c r="F19" s="21"/>
      <c r="G19" s="21"/>
      <c r="H19" s="21"/>
      <c r="I19" s="22"/>
      <c r="J19" s="22"/>
      <c r="K19" s="23"/>
      <c r="L19" s="23">
        <v>1100</v>
      </c>
      <c r="M19" s="23"/>
      <c r="N19" s="23">
        <f>L19-M19</f>
        <v>1100</v>
      </c>
    </row>
    <row r="20" spans="1:14" x14ac:dyDescent="0.2">
      <c r="A20" s="19">
        <v>43100</v>
      </c>
      <c r="B20" s="20" t="s">
        <v>27</v>
      </c>
      <c r="C20" s="21">
        <v>7</v>
      </c>
      <c r="D20" s="21">
        <v>2017</v>
      </c>
      <c r="E20" s="21">
        <v>95.322736000000006</v>
      </c>
      <c r="F20" s="21">
        <v>12</v>
      </c>
      <c r="G20" s="21">
        <v>2017</v>
      </c>
      <c r="H20" s="21">
        <v>98.272882999999993</v>
      </c>
      <c r="I20" s="22">
        <f t="shared" ref="I20:I26" si="6">TRUNC(H20/E20,4)</f>
        <v>1.0308999999999999</v>
      </c>
      <c r="J20" s="22">
        <f>I20-1</f>
        <v>3.0899999999999928E-2</v>
      </c>
      <c r="K20" s="23">
        <f>ROUND(N19*J20,2)</f>
        <v>33.99</v>
      </c>
      <c r="L20" s="23">
        <f>N19+K20</f>
        <v>1133.99</v>
      </c>
      <c r="M20" s="23"/>
      <c r="N20" s="23">
        <f t="shared" ref="N20:N26" si="7">L20-M20</f>
        <v>1133.99</v>
      </c>
    </row>
    <row r="21" spans="1:14" x14ac:dyDescent="0.2">
      <c r="A21" s="19">
        <v>43465</v>
      </c>
      <c r="B21" s="20" t="s">
        <v>28</v>
      </c>
      <c r="C21" s="21">
        <f t="shared" ref="C21:E26" si="8">F20</f>
        <v>12</v>
      </c>
      <c r="D21" s="21">
        <f t="shared" si="8"/>
        <v>2017</v>
      </c>
      <c r="E21" s="21">
        <f t="shared" si="8"/>
        <v>98.272882999999993</v>
      </c>
      <c r="F21" s="21">
        <v>12</v>
      </c>
      <c r="G21" s="21">
        <v>2018</v>
      </c>
      <c r="H21" s="21">
        <v>103.02</v>
      </c>
      <c r="I21" s="22">
        <f t="shared" si="6"/>
        <v>1.0483</v>
      </c>
      <c r="J21" s="22">
        <f>I21-1</f>
        <v>4.830000000000001E-2</v>
      </c>
      <c r="K21" s="23">
        <f t="shared" ref="K21:K26" si="9">ROUND(N20*J21,2)</f>
        <v>54.77</v>
      </c>
      <c r="L21" s="23">
        <f t="shared" ref="L21:L23" si="10">N20+K21</f>
        <v>1188.76</v>
      </c>
      <c r="M21" s="23"/>
      <c r="N21" s="23">
        <f t="shared" si="7"/>
        <v>1188.76</v>
      </c>
    </row>
    <row r="22" spans="1:14" x14ac:dyDescent="0.2">
      <c r="A22" s="19">
        <v>43830</v>
      </c>
      <c r="B22" s="20" t="s">
        <v>29</v>
      </c>
      <c r="C22" s="21">
        <f t="shared" si="8"/>
        <v>12</v>
      </c>
      <c r="D22" s="21">
        <f t="shared" si="8"/>
        <v>2018</v>
      </c>
      <c r="E22" s="21">
        <f t="shared" si="8"/>
        <v>103.02</v>
      </c>
      <c r="F22" s="21">
        <v>12</v>
      </c>
      <c r="G22" s="21">
        <v>2019</v>
      </c>
      <c r="H22" s="21">
        <v>105.934</v>
      </c>
      <c r="I22" s="22">
        <f t="shared" si="6"/>
        <v>1.0282</v>
      </c>
      <c r="J22" s="22">
        <f t="shared" ref="J22:J26" si="11">I22-1</f>
        <v>2.8200000000000003E-2</v>
      </c>
      <c r="K22" s="23">
        <f t="shared" si="9"/>
        <v>33.520000000000003</v>
      </c>
      <c r="L22" s="23">
        <f t="shared" si="10"/>
        <v>1222.28</v>
      </c>
      <c r="M22" s="23"/>
      <c r="N22" s="23">
        <f t="shared" si="7"/>
        <v>1222.28</v>
      </c>
    </row>
    <row r="23" spans="1:14" x14ac:dyDescent="0.2">
      <c r="A23" s="19">
        <v>44196</v>
      </c>
      <c r="B23" s="20" t="s">
        <v>30</v>
      </c>
      <c r="C23" s="21">
        <f t="shared" si="8"/>
        <v>12</v>
      </c>
      <c r="D23" s="21">
        <f t="shared" si="8"/>
        <v>2019</v>
      </c>
      <c r="E23" s="21">
        <f t="shared" si="8"/>
        <v>105.934</v>
      </c>
      <c r="F23" s="21">
        <v>12</v>
      </c>
      <c r="G23" s="21">
        <v>2020</v>
      </c>
      <c r="H23" s="21">
        <v>109.271</v>
      </c>
      <c r="I23" s="22">
        <f t="shared" si="6"/>
        <v>1.0315000000000001</v>
      </c>
      <c r="J23" s="22">
        <f t="shared" si="11"/>
        <v>3.1500000000000083E-2</v>
      </c>
      <c r="K23" s="23">
        <f t="shared" si="9"/>
        <v>38.5</v>
      </c>
      <c r="L23" s="23">
        <f t="shared" si="10"/>
        <v>1260.78</v>
      </c>
      <c r="M23" s="23"/>
      <c r="N23" s="23">
        <f t="shared" si="7"/>
        <v>1260.78</v>
      </c>
    </row>
    <row r="24" spans="1:14" x14ac:dyDescent="0.2">
      <c r="A24" s="19">
        <v>44561</v>
      </c>
      <c r="B24" s="20" t="s">
        <v>31</v>
      </c>
      <c r="C24" s="21">
        <f t="shared" si="8"/>
        <v>12</v>
      </c>
      <c r="D24" s="21">
        <f t="shared" si="8"/>
        <v>2020</v>
      </c>
      <c r="E24" s="21">
        <f t="shared" si="8"/>
        <v>109.271</v>
      </c>
      <c r="F24" s="21">
        <v>12</v>
      </c>
      <c r="G24" s="21">
        <v>2021</v>
      </c>
      <c r="H24" s="21">
        <v>117.30800000000001</v>
      </c>
      <c r="I24" s="22">
        <f t="shared" si="6"/>
        <v>1.0734999999999999</v>
      </c>
      <c r="J24" s="22">
        <f t="shared" si="11"/>
        <v>7.3499999999999899E-2</v>
      </c>
      <c r="K24" s="23">
        <f t="shared" si="9"/>
        <v>92.67</v>
      </c>
      <c r="L24" s="23">
        <f>N23+K24</f>
        <v>1353.45</v>
      </c>
      <c r="M24" s="62">
        <v>1353.45</v>
      </c>
      <c r="N24" s="23">
        <f t="shared" si="7"/>
        <v>0</v>
      </c>
    </row>
    <row r="25" spans="1:14" x14ac:dyDescent="0.2">
      <c r="A25" s="19">
        <v>44926</v>
      </c>
      <c r="B25" s="20" t="s">
        <v>32</v>
      </c>
      <c r="C25" s="21">
        <f t="shared" si="8"/>
        <v>12</v>
      </c>
      <c r="D25" s="21">
        <f t="shared" si="8"/>
        <v>2021</v>
      </c>
      <c r="E25" s="21">
        <f t="shared" si="8"/>
        <v>117.30800000000001</v>
      </c>
      <c r="F25" s="21">
        <v>12</v>
      </c>
      <c r="G25" s="21">
        <v>2022</v>
      </c>
      <c r="H25" s="21">
        <v>126.47799999999999</v>
      </c>
      <c r="I25" s="22">
        <f t="shared" si="6"/>
        <v>1.0781000000000001</v>
      </c>
      <c r="J25" s="22">
        <f t="shared" si="11"/>
        <v>7.8100000000000058E-2</v>
      </c>
      <c r="K25" s="23">
        <f t="shared" si="9"/>
        <v>0</v>
      </c>
      <c r="L25" s="23">
        <f t="shared" ref="L25:L26" si="12">N24+K25</f>
        <v>0</v>
      </c>
      <c r="M25" s="23"/>
      <c r="N25" s="23">
        <f t="shared" si="7"/>
        <v>0</v>
      </c>
    </row>
    <row r="26" spans="1:14" x14ac:dyDescent="0.2">
      <c r="A26" s="19">
        <v>45291</v>
      </c>
      <c r="B26" s="20" t="s">
        <v>33</v>
      </c>
      <c r="C26" s="21">
        <f t="shared" si="8"/>
        <v>12</v>
      </c>
      <c r="D26" s="21">
        <f t="shared" si="8"/>
        <v>2022</v>
      </c>
      <c r="E26" s="21">
        <f t="shared" si="8"/>
        <v>126.47799999999999</v>
      </c>
      <c r="F26" s="21">
        <v>12</v>
      </c>
      <c r="G26" s="21">
        <v>2023</v>
      </c>
      <c r="H26" s="21">
        <v>132.37299999999999</v>
      </c>
      <c r="I26" s="22">
        <f t="shared" si="6"/>
        <v>1.0466</v>
      </c>
      <c r="J26" s="22">
        <f t="shared" si="11"/>
        <v>4.6599999999999975E-2</v>
      </c>
      <c r="K26" s="23">
        <f t="shared" si="9"/>
        <v>0</v>
      </c>
      <c r="L26" s="23">
        <f t="shared" si="12"/>
        <v>0</v>
      </c>
      <c r="M26" s="23"/>
      <c r="N26" s="23">
        <f t="shared" si="7"/>
        <v>0</v>
      </c>
    </row>
    <row r="29" spans="1:14" x14ac:dyDescent="0.2">
      <c r="A29" s="18" t="s">
        <v>42</v>
      </c>
    </row>
    <row r="30" spans="1:14" ht="25.5" x14ac:dyDescent="0.2">
      <c r="A30" s="2" t="s">
        <v>1</v>
      </c>
      <c r="B30" s="2" t="s">
        <v>2</v>
      </c>
      <c r="C30" s="2" t="s">
        <v>3</v>
      </c>
      <c r="D30" s="2" t="s">
        <v>4</v>
      </c>
      <c r="E30" s="2" t="s">
        <v>5</v>
      </c>
      <c r="F30" s="2" t="s">
        <v>21</v>
      </c>
      <c r="G30" s="2" t="s">
        <v>22</v>
      </c>
      <c r="H30" s="2" t="s">
        <v>6</v>
      </c>
      <c r="I30" s="2" t="s">
        <v>7</v>
      </c>
      <c r="J30" s="2" t="s">
        <v>8</v>
      </c>
      <c r="K30" s="2" t="s">
        <v>34</v>
      </c>
      <c r="L30" s="2" t="s">
        <v>9</v>
      </c>
      <c r="M30" s="2" t="s">
        <v>68</v>
      </c>
      <c r="N30" s="2" t="s">
        <v>69</v>
      </c>
    </row>
    <row r="31" spans="1:14" x14ac:dyDescent="0.2">
      <c r="A31" s="19" t="s">
        <v>35</v>
      </c>
      <c r="B31" s="20" t="s">
        <v>43</v>
      </c>
      <c r="C31" s="21"/>
      <c r="D31" s="21"/>
      <c r="E31" s="21"/>
      <c r="F31" s="21"/>
      <c r="G31" s="21"/>
      <c r="H31" s="21"/>
      <c r="I31" s="22"/>
      <c r="J31" s="22"/>
      <c r="K31" s="23"/>
      <c r="L31" s="23">
        <v>42543</v>
      </c>
      <c r="M31" s="23"/>
      <c r="N31" s="23">
        <f>L31-M31</f>
        <v>42543</v>
      </c>
    </row>
    <row r="32" spans="1:14" x14ac:dyDescent="0.2">
      <c r="A32" s="19">
        <v>44196</v>
      </c>
      <c r="B32" s="20" t="s">
        <v>30</v>
      </c>
      <c r="C32" s="21">
        <v>7</v>
      </c>
      <c r="D32" s="21">
        <v>2020</v>
      </c>
      <c r="E32" s="21">
        <v>107.444</v>
      </c>
      <c r="F32" s="21">
        <v>12</v>
      </c>
      <c r="G32" s="21">
        <v>2020</v>
      </c>
      <c r="H32" s="21">
        <v>109.271</v>
      </c>
      <c r="I32" s="22">
        <f t="shared" ref="I32:I35" si="13">TRUNC(H32/E32,4)</f>
        <v>1.0169999999999999</v>
      </c>
      <c r="J32" s="22">
        <f>I32-1</f>
        <v>1.6999999999999904E-2</v>
      </c>
      <c r="K32" s="23">
        <f>ROUND(N31*J32,2)</f>
        <v>723.23</v>
      </c>
      <c r="L32" s="23">
        <f t="shared" ref="L32:L34" si="14">N31+K32</f>
        <v>43266.23</v>
      </c>
      <c r="M32" s="23"/>
      <c r="N32" s="23">
        <f t="shared" ref="N32:N35" si="15">L32-M32</f>
        <v>43266.23</v>
      </c>
    </row>
    <row r="33" spans="1:15" x14ac:dyDescent="0.2">
      <c r="A33" s="19">
        <v>44561</v>
      </c>
      <c r="B33" s="20" t="s">
        <v>31</v>
      </c>
      <c r="C33" s="21">
        <f t="shared" ref="C33:E35" si="16">F32</f>
        <v>12</v>
      </c>
      <c r="D33" s="21">
        <f t="shared" si="16"/>
        <v>2020</v>
      </c>
      <c r="E33" s="21">
        <f t="shared" si="16"/>
        <v>109.271</v>
      </c>
      <c r="F33" s="21">
        <v>12</v>
      </c>
      <c r="G33" s="21">
        <v>2021</v>
      </c>
      <c r="H33" s="21">
        <v>117.30800000000001</v>
      </c>
      <c r="I33" s="22">
        <f t="shared" si="13"/>
        <v>1.0734999999999999</v>
      </c>
      <c r="J33" s="22">
        <f t="shared" ref="J33:J35" si="17">I33-1</f>
        <v>7.3499999999999899E-2</v>
      </c>
      <c r="K33" s="23">
        <f t="shared" ref="K33:K35" si="18">ROUND(N32*J33,2)</f>
        <v>3180.07</v>
      </c>
      <c r="L33" s="23">
        <f t="shared" si="14"/>
        <v>46446.3</v>
      </c>
      <c r="M33" s="62">
        <v>14694.69</v>
      </c>
      <c r="N33" s="23">
        <f t="shared" si="15"/>
        <v>31751.61</v>
      </c>
      <c r="O33" s="28"/>
    </row>
    <row r="34" spans="1:15" x14ac:dyDescent="0.2">
      <c r="A34" s="19">
        <v>44926</v>
      </c>
      <c r="B34" s="20" t="s">
        <v>32</v>
      </c>
      <c r="C34" s="21">
        <f t="shared" si="16"/>
        <v>12</v>
      </c>
      <c r="D34" s="21">
        <f t="shared" si="16"/>
        <v>2021</v>
      </c>
      <c r="E34" s="21">
        <f t="shared" si="16"/>
        <v>117.30800000000001</v>
      </c>
      <c r="F34" s="21">
        <v>12</v>
      </c>
      <c r="G34" s="21">
        <v>2022</v>
      </c>
      <c r="H34" s="21">
        <v>126.47799999999999</v>
      </c>
      <c r="I34" s="22">
        <f t="shared" si="13"/>
        <v>1.0781000000000001</v>
      </c>
      <c r="J34" s="22">
        <f t="shared" si="17"/>
        <v>7.8100000000000058E-2</v>
      </c>
      <c r="K34" s="23">
        <f t="shared" si="18"/>
        <v>2479.8000000000002</v>
      </c>
      <c r="L34" s="23">
        <f t="shared" si="14"/>
        <v>34231.410000000003</v>
      </c>
      <c r="M34" s="62">
        <v>34231.410000000003</v>
      </c>
      <c r="N34" s="23">
        <f t="shared" si="15"/>
        <v>0</v>
      </c>
    </row>
    <row r="35" spans="1:15" x14ac:dyDescent="0.2">
      <c r="A35" s="19">
        <v>45291</v>
      </c>
      <c r="B35" s="20" t="s">
        <v>33</v>
      </c>
      <c r="C35" s="21">
        <f t="shared" si="16"/>
        <v>12</v>
      </c>
      <c r="D35" s="21">
        <f t="shared" si="16"/>
        <v>2022</v>
      </c>
      <c r="E35" s="21">
        <f t="shared" si="16"/>
        <v>126.47799999999999</v>
      </c>
      <c r="F35" s="21">
        <v>12</v>
      </c>
      <c r="G35" s="21">
        <v>2023</v>
      </c>
      <c r="H35" s="21">
        <v>132.37299999999999</v>
      </c>
      <c r="I35" s="22">
        <f t="shared" si="13"/>
        <v>1.0466</v>
      </c>
      <c r="J35" s="22">
        <f t="shared" si="17"/>
        <v>4.6599999999999975E-2</v>
      </c>
      <c r="K35" s="23">
        <f t="shared" si="18"/>
        <v>0</v>
      </c>
      <c r="L35" s="23">
        <f>N34+K35</f>
        <v>0</v>
      </c>
      <c r="M35" s="23"/>
      <c r="N35" s="23">
        <f t="shared" si="15"/>
        <v>0</v>
      </c>
    </row>
    <row r="38" spans="1:15" x14ac:dyDescent="0.2">
      <c r="A38" s="18" t="s">
        <v>135</v>
      </c>
    </row>
    <row r="39" spans="1:15" ht="25.5" x14ac:dyDescent="0.2">
      <c r="A39" s="2" t="s">
        <v>1</v>
      </c>
      <c r="B39" s="2" t="s">
        <v>2</v>
      </c>
      <c r="C39" s="2" t="s">
        <v>3</v>
      </c>
      <c r="D39" s="2" t="s">
        <v>4</v>
      </c>
      <c r="E39" s="2" t="s">
        <v>5</v>
      </c>
      <c r="F39" s="2" t="s">
        <v>21</v>
      </c>
      <c r="G39" s="2" t="s">
        <v>22</v>
      </c>
      <c r="H39" s="2" t="s">
        <v>6</v>
      </c>
      <c r="I39" s="2" t="s">
        <v>7</v>
      </c>
      <c r="J39" s="2" t="s">
        <v>8</v>
      </c>
      <c r="K39" s="2" t="s">
        <v>34</v>
      </c>
      <c r="L39" s="2" t="s">
        <v>9</v>
      </c>
      <c r="M39" s="2" t="s">
        <v>68</v>
      </c>
      <c r="N39" s="2" t="s">
        <v>69</v>
      </c>
    </row>
    <row r="40" spans="1:15" x14ac:dyDescent="0.2">
      <c r="A40" s="19" t="s">
        <v>35</v>
      </c>
      <c r="B40" s="79" t="s">
        <v>136</v>
      </c>
      <c r="C40" s="21"/>
      <c r="D40" s="21"/>
      <c r="E40" s="21"/>
      <c r="F40" s="21"/>
      <c r="G40" s="21"/>
      <c r="H40" s="21"/>
      <c r="I40" s="22"/>
      <c r="J40" s="22"/>
      <c r="K40" s="23"/>
      <c r="L40" s="23">
        <v>191127</v>
      </c>
      <c r="M40" s="23"/>
      <c r="N40" s="23">
        <f>L40-M40</f>
        <v>191127</v>
      </c>
    </row>
    <row r="41" spans="1:15" x14ac:dyDescent="0.2">
      <c r="A41" s="19">
        <v>45291</v>
      </c>
      <c r="B41" s="95" t="s">
        <v>33</v>
      </c>
      <c r="C41" s="21">
        <v>7</v>
      </c>
      <c r="D41" s="21">
        <v>2023</v>
      </c>
      <c r="E41" s="21">
        <v>128.83199999999999</v>
      </c>
      <c r="F41" s="21">
        <v>12</v>
      </c>
      <c r="G41" s="21">
        <v>2023</v>
      </c>
      <c r="H41" s="21">
        <v>132.37299999999999</v>
      </c>
      <c r="I41" s="22">
        <f t="shared" ref="I41:I42" si="19">TRUNC(H41/E41,4)</f>
        <v>1.0274000000000001</v>
      </c>
      <c r="J41" s="22">
        <f>I41-1</f>
        <v>2.7400000000000091E-2</v>
      </c>
      <c r="K41" s="23">
        <f>ROUND(N40*J41,2)</f>
        <v>5236.88</v>
      </c>
      <c r="L41" s="23">
        <f t="shared" ref="L41:L42" si="20">N40+K41</f>
        <v>196363.88</v>
      </c>
      <c r="M41" s="23"/>
      <c r="N41" s="23">
        <f t="shared" ref="N41:N42" si="21">L41-M41</f>
        <v>196363.88</v>
      </c>
    </row>
    <row r="42" spans="1:15" x14ac:dyDescent="0.2">
      <c r="A42" s="19">
        <v>45657</v>
      </c>
      <c r="B42" s="95" t="s">
        <v>177</v>
      </c>
      <c r="C42" s="21">
        <f t="shared" ref="C42" si="22">F41</f>
        <v>12</v>
      </c>
      <c r="D42" s="21">
        <f t="shared" ref="D42" si="23">G41</f>
        <v>2023</v>
      </c>
      <c r="E42" s="21">
        <v>136.00299999999999</v>
      </c>
      <c r="F42" s="21">
        <v>12</v>
      </c>
      <c r="G42" s="21">
        <v>2024</v>
      </c>
      <c r="H42" s="21">
        <v>137.94900000000001</v>
      </c>
      <c r="I42" s="22">
        <f t="shared" si="19"/>
        <v>1.0143</v>
      </c>
      <c r="J42" s="22">
        <f t="shared" ref="J42" si="24">I42-1</f>
        <v>1.4299999999999979E-2</v>
      </c>
      <c r="K42" s="23">
        <f t="shared" ref="K42" si="25">ROUND(N41*J42,2)</f>
        <v>2808</v>
      </c>
      <c r="L42" s="23">
        <f t="shared" si="20"/>
        <v>199171.88</v>
      </c>
      <c r="M42" s="23"/>
      <c r="N42" s="23">
        <f t="shared" si="21"/>
        <v>199171.88</v>
      </c>
    </row>
    <row r="44" spans="1:15" x14ac:dyDescent="0.2">
      <c r="B44" s="3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0C8FF-FAF4-4198-833C-BBF5F847F730}">
  <sheetPr>
    <tabColor rgb="FFFFC000"/>
  </sheetPr>
  <dimension ref="A1:O35"/>
  <sheetViews>
    <sheetView workbookViewId="0">
      <pane ySplit="2" topLeftCell="A3" activePane="bottomLeft" state="frozen"/>
      <selection pane="bottomLeft" activeCell="P19" sqref="P19"/>
    </sheetView>
  </sheetViews>
  <sheetFormatPr baseColWidth="10" defaultRowHeight="12.75" x14ac:dyDescent="0.2"/>
  <cols>
    <col min="1" max="1" width="9.7109375" style="17" bestFit="1" customWidth="1"/>
    <col min="2" max="2" width="7.28515625" style="17" bestFit="1" customWidth="1"/>
    <col min="3" max="3" width="10.42578125" style="17" bestFit="1" customWidth="1"/>
    <col min="4" max="4" width="14" style="17" bestFit="1" customWidth="1"/>
    <col min="5" max="5" width="12.140625" style="17" bestFit="1" customWidth="1"/>
    <col min="6" max="6" width="11.42578125" style="17" bestFit="1" customWidth="1"/>
    <col min="7" max="7" width="11.85546875" style="17" bestFit="1" customWidth="1"/>
    <col min="8" max="9" width="11.7109375" style="17" bestFit="1" customWidth="1"/>
    <col min="10" max="11" width="11.42578125" style="17"/>
    <col min="12" max="12" width="7.28515625" style="17" bestFit="1" customWidth="1"/>
    <col min="13" max="13" width="7.140625" style="17" bestFit="1" customWidth="1"/>
    <col min="14" max="16384" width="11.42578125" style="17"/>
  </cols>
  <sheetData>
    <row r="1" spans="1:15" x14ac:dyDescent="0.2">
      <c r="A1" s="18" t="s">
        <v>57</v>
      </c>
      <c r="L1" s="18" t="s">
        <v>54</v>
      </c>
    </row>
    <row r="2" spans="1:15" x14ac:dyDescent="0.2">
      <c r="A2" s="24" t="s">
        <v>45</v>
      </c>
      <c r="B2" s="24" t="s">
        <v>14</v>
      </c>
      <c r="C2" s="24" t="s">
        <v>46</v>
      </c>
      <c r="D2" s="24" t="s">
        <v>85</v>
      </c>
      <c r="E2" s="24" t="s">
        <v>47</v>
      </c>
      <c r="F2" s="24" t="s">
        <v>2</v>
      </c>
      <c r="G2" s="24" t="s">
        <v>48</v>
      </c>
      <c r="H2" s="24" t="s">
        <v>49</v>
      </c>
      <c r="I2" s="24" t="s">
        <v>121</v>
      </c>
      <c r="L2" s="29" t="s">
        <v>14</v>
      </c>
      <c r="M2" s="29" t="s">
        <v>55</v>
      </c>
      <c r="N2" s="29" t="s">
        <v>56</v>
      </c>
    </row>
    <row r="3" spans="1:15" x14ac:dyDescent="0.2">
      <c r="A3" s="25" t="s">
        <v>50</v>
      </c>
      <c r="B3" s="25">
        <v>2016</v>
      </c>
      <c r="C3" s="26">
        <v>42621</v>
      </c>
      <c r="D3" s="48" t="s">
        <v>86</v>
      </c>
      <c r="E3" s="46">
        <v>186749986</v>
      </c>
      <c r="F3" s="25" t="s">
        <v>51</v>
      </c>
      <c r="G3" s="27">
        <v>1355</v>
      </c>
      <c r="H3" s="27">
        <v>1355</v>
      </c>
      <c r="I3" s="27">
        <f>G3-H3</f>
        <v>0</v>
      </c>
      <c r="L3" s="25">
        <v>2019</v>
      </c>
      <c r="M3" s="25">
        <v>10</v>
      </c>
      <c r="N3" s="27">
        <v>1540</v>
      </c>
    </row>
    <row r="4" spans="1:15" x14ac:dyDescent="0.2">
      <c r="A4" s="25" t="s">
        <v>52</v>
      </c>
      <c r="B4" s="25">
        <v>2016</v>
      </c>
      <c r="C4" s="26">
        <v>42754</v>
      </c>
      <c r="D4" s="48" t="s">
        <v>86</v>
      </c>
      <c r="E4" s="46">
        <v>202009640</v>
      </c>
      <c r="F4" s="25" t="s">
        <v>51</v>
      </c>
      <c r="G4" s="27">
        <v>920</v>
      </c>
      <c r="H4" s="27">
        <f>185+252+483</f>
        <v>920</v>
      </c>
      <c r="I4" s="27">
        <f>G4-H4</f>
        <v>0</v>
      </c>
      <c r="L4" s="25">
        <v>2019</v>
      </c>
      <c r="M4" s="25">
        <v>11</v>
      </c>
      <c r="N4" s="27">
        <v>252</v>
      </c>
    </row>
    <row r="5" spans="1:15" x14ac:dyDescent="0.2">
      <c r="A5" s="25" t="s">
        <v>52</v>
      </c>
      <c r="B5" s="25">
        <v>2017</v>
      </c>
      <c r="C5" s="26">
        <v>43677</v>
      </c>
      <c r="D5" s="48" t="s">
        <v>86</v>
      </c>
      <c r="E5" s="46">
        <v>321941789</v>
      </c>
      <c r="F5" s="25" t="s">
        <v>51</v>
      </c>
      <c r="G5" s="27">
        <v>176</v>
      </c>
      <c r="H5" s="27">
        <v>176</v>
      </c>
      <c r="I5" s="27">
        <f>G5-H5</f>
        <v>0</v>
      </c>
      <c r="L5" s="25">
        <v>2019</v>
      </c>
      <c r="M5" s="25">
        <v>12</v>
      </c>
      <c r="N5" s="27">
        <v>1135</v>
      </c>
    </row>
    <row r="6" spans="1:15" x14ac:dyDescent="0.2">
      <c r="A6" s="25" t="s">
        <v>53</v>
      </c>
      <c r="B6" s="25">
        <v>2019</v>
      </c>
      <c r="C6" s="26">
        <v>43850</v>
      </c>
      <c r="D6" s="48" t="s">
        <v>86</v>
      </c>
      <c r="E6" s="46">
        <v>346290582</v>
      </c>
      <c r="F6" s="25" t="s">
        <v>51</v>
      </c>
      <c r="G6" s="27">
        <v>2910</v>
      </c>
      <c r="H6" s="44">
        <f>476+442+743+214+389+25+621</f>
        <v>2910</v>
      </c>
      <c r="I6" s="27">
        <f>G6-H6</f>
        <v>0</v>
      </c>
      <c r="L6" s="25">
        <v>2020</v>
      </c>
      <c r="M6" s="25">
        <v>1</v>
      </c>
      <c r="N6" s="27">
        <v>442</v>
      </c>
    </row>
    <row r="7" spans="1:15" x14ac:dyDescent="0.2">
      <c r="A7" s="45" t="s">
        <v>79</v>
      </c>
      <c r="B7" s="25">
        <v>2020</v>
      </c>
      <c r="C7" s="26">
        <v>45407</v>
      </c>
      <c r="D7" s="48" t="s">
        <v>87</v>
      </c>
      <c r="E7" s="47" t="s">
        <v>80</v>
      </c>
      <c r="F7" s="45" t="s">
        <v>51</v>
      </c>
      <c r="G7" s="27">
        <v>728</v>
      </c>
      <c r="H7" s="27">
        <f>338+390</f>
        <v>728</v>
      </c>
      <c r="I7" s="27">
        <f>G7-H7</f>
        <v>0</v>
      </c>
      <c r="L7" s="25">
        <v>2020</v>
      </c>
      <c r="M7" s="25">
        <v>2</v>
      </c>
      <c r="N7" s="27">
        <v>743</v>
      </c>
    </row>
    <row r="8" spans="1:15" x14ac:dyDescent="0.2">
      <c r="A8" s="45" t="s">
        <v>81</v>
      </c>
      <c r="B8" s="25">
        <v>2020</v>
      </c>
      <c r="C8" s="26">
        <v>45407</v>
      </c>
      <c r="D8" s="48" t="s">
        <v>87</v>
      </c>
      <c r="E8" s="47" t="s">
        <v>82</v>
      </c>
      <c r="F8" s="45" t="s">
        <v>51</v>
      </c>
      <c r="G8" s="27">
        <v>684</v>
      </c>
      <c r="H8" s="27">
        <f>8+676</f>
        <v>684</v>
      </c>
      <c r="I8" s="27">
        <f t="shared" ref="I8:I33" si="0">G8-H8</f>
        <v>0</v>
      </c>
      <c r="L8" s="25">
        <v>2020</v>
      </c>
      <c r="M8" s="25">
        <v>6</v>
      </c>
      <c r="N8" s="27">
        <v>214</v>
      </c>
    </row>
    <row r="9" spans="1:15" x14ac:dyDescent="0.2">
      <c r="A9" s="45" t="s">
        <v>83</v>
      </c>
      <c r="B9" s="25">
        <v>2020</v>
      </c>
      <c r="C9" s="26">
        <v>45407</v>
      </c>
      <c r="D9" s="48" t="s">
        <v>87</v>
      </c>
      <c r="E9" s="47" t="s">
        <v>84</v>
      </c>
      <c r="F9" s="45" t="s">
        <v>51</v>
      </c>
      <c r="G9" s="27">
        <v>2310</v>
      </c>
      <c r="H9" s="27">
        <f>653+1657</f>
        <v>2310</v>
      </c>
      <c r="I9" s="27">
        <f t="shared" si="0"/>
        <v>0</v>
      </c>
      <c r="L9" s="25">
        <v>2020</v>
      </c>
      <c r="M9" s="25">
        <v>8</v>
      </c>
      <c r="N9" s="27">
        <v>389</v>
      </c>
    </row>
    <row r="10" spans="1:15" x14ac:dyDescent="0.2">
      <c r="A10" s="45" t="s">
        <v>88</v>
      </c>
      <c r="B10" s="25">
        <v>2020</v>
      </c>
      <c r="C10" s="26">
        <v>45407</v>
      </c>
      <c r="D10" s="48" t="s">
        <v>87</v>
      </c>
      <c r="E10" s="47" t="s">
        <v>89</v>
      </c>
      <c r="F10" s="45" t="s">
        <v>51</v>
      </c>
      <c r="G10" s="27">
        <v>148</v>
      </c>
      <c r="H10" s="27">
        <f>148</f>
        <v>148</v>
      </c>
      <c r="I10" s="27">
        <f t="shared" si="0"/>
        <v>0</v>
      </c>
      <c r="L10" s="25">
        <v>2021</v>
      </c>
      <c r="M10" s="25">
        <v>1</v>
      </c>
      <c r="N10" s="27">
        <v>25</v>
      </c>
    </row>
    <row r="11" spans="1:15" x14ac:dyDescent="0.2">
      <c r="A11" s="45" t="s">
        <v>53</v>
      </c>
      <c r="B11" s="25">
        <v>2020</v>
      </c>
      <c r="C11" s="26">
        <v>45407</v>
      </c>
      <c r="D11" s="48" t="s">
        <v>87</v>
      </c>
      <c r="E11" s="47" t="s">
        <v>90</v>
      </c>
      <c r="F11" s="45" t="s">
        <v>51</v>
      </c>
      <c r="G11" s="27">
        <v>231</v>
      </c>
      <c r="H11" s="27">
        <f>231</f>
        <v>231</v>
      </c>
      <c r="I11" s="27">
        <f t="shared" si="0"/>
        <v>0</v>
      </c>
      <c r="L11" s="25">
        <v>2021</v>
      </c>
      <c r="M11" s="25">
        <v>2</v>
      </c>
      <c r="N11" s="27">
        <v>959</v>
      </c>
      <c r="O11" s="28"/>
    </row>
    <row r="12" spans="1:15" x14ac:dyDescent="0.2">
      <c r="A12" s="45" t="s">
        <v>91</v>
      </c>
      <c r="B12" s="25">
        <v>2020</v>
      </c>
      <c r="C12" s="26">
        <v>45407</v>
      </c>
      <c r="D12" s="48" t="s">
        <v>87</v>
      </c>
      <c r="E12" s="47" t="s">
        <v>92</v>
      </c>
      <c r="F12" s="45" t="s">
        <v>51</v>
      </c>
      <c r="G12" s="27">
        <v>673</v>
      </c>
      <c r="H12" s="27">
        <f>673</f>
        <v>673</v>
      </c>
      <c r="I12" s="27">
        <f t="shared" si="0"/>
        <v>0</v>
      </c>
      <c r="L12" s="25">
        <v>2021</v>
      </c>
      <c r="M12" s="25">
        <v>3</v>
      </c>
      <c r="N12" s="27">
        <v>398</v>
      </c>
      <c r="O12" s="28"/>
    </row>
    <row r="13" spans="1:15" x14ac:dyDescent="0.2">
      <c r="A13" s="45" t="s">
        <v>93</v>
      </c>
      <c r="B13" s="25">
        <v>2020</v>
      </c>
      <c r="C13" s="26">
        <v>45407</v>
      </c>
      <c r="D13" s="48" t="s">
        <v>87</v>
      </c>
      <c r="E13" s="47" t="s">
        <v>94</v>
      </c>
      <c r="F13" s="45" t="s">
        <v>51</v>
      </c>
      <c r="G13" s="27">
        <v>1974</v>
      </c>
      <c r="H13" s="27">
        <f>1974</f>
        <v>1974</v>
      </c>
      <c r="I13" s="27">
        <f t="shared" si="0"/>
        <v>0</v>
      </c>
      <c r="L13" s="25">
        <v>2021</v>
      </c>
      <c r="M13" s="25">
        <v>4</v>
      </c>
      <c r="N13" s="27">
        <v>1329</v>
      </c>
      <c r="O13" s="28"/>
    </row>
    <row r="14" spans="1:15" x14ac:dyDescent="0.2">
      <c r="A14" s="45" t="s">
        <v>52</v>
      </c>
      <c r="B14" s="25">
        <v>2020</v>
      </c>
      <c r="C14" s="26">
        <v>45407</v>
      </c>
      <c r="D14" s="48" t="s">
        <v>87</v>
      </c>
      <c r="E14" s="47" t="s">
        <v>95</v>
      </c>
      <c r="F14" s="45" t="s">
        <v>51</v>
      </c>
      <c r="G14" s="27">
        <v>1071</v>
      </c>
      <c r="H14" s="27">
        <f>1071</f>
        <v>1071</v>
      </c>
      <c r="I14" s="27">
        <f t="shared" si="0"/>
        <v>0</v>
      </c>
      <c r="L14" s="25">
        <v>2021</v>
      </c>
      <c r="M14" s="25">
        <v>8</v>
      </c>
      <c r="N14" s="27">
        <v>5838</v>
      </c>
      <c r="O14" s="28"/>
    </row>
    <row r="15" spans="1:15" x14ac:dyDescent="0.2">
      <c r="A15" s="45" t="s">
        <v>83</v>
      </c>
      <c r="B15" s="25">
        <v>2021</v>
      </c>
      <c r="C15" s="26">
        <v>45407</v>
      </c>
      <c r="D15" s="48" t="s">
        <v>87</v>
      </c>
      <c r="E15" s="47" t="s">
        <v>97</v>
      </c>
      <c r="F15" s="45" t="s">
        <v>51</v>
      </c>
      <c r="G15" s="27">
        <v>307</v>
      </c>
      <c r="H15" s="27">
        <f>84+223</f>
        <v>307</v>
      </c>
      <c r="I15" s="27">
        <f t="shared" si="0"/>
        <v>0</v>
      </c>
      <c r="L15" s="25">
        <v>2021</v>
      </c>
      <c r="M15" s="25">
        <v>10</v>
      </c>
      <c r="N15" s="27">
        <v>41793</v>
      </c>
      <c r="O15" s="28"/>
    </row>
    <row r="16" spans="1:15" x14ac:dyDescent="0.2">
      <c r="A16" s="45" t="s">
        <v>96</v>
      </c>
      <c r="B16" s="25">
        <v>2021</v>
      </c>
      <c r="C16" s="26">
        <v>45407</v>
      </c>
      <c r="D16" s="48" t="s">
        <v>87</v>
      </c>
      <c r="E16" s="47" t="s">
        <v>98</v>
      </c>
      <c r="F16" s="45" t="s">
        <v>51</v>
      </c>
      <c r="G16" s="27">
        <v>41906</v>
      </c>
      <c r="H16" s="27">
        <f>41570+336</f>
        <v>41906</v>
      </c>
      <c r="I16" s="27">
        <f t="shared" si="0"/>
        <v>0</v>
      </c>
      <c r="L16" s="25">
        <v>2021</v>
      </c>
      <c r="M16" s="25">
        <v>11</v>
      </c>
      <c r="N16" s="27">
        <v>513</v>
      </c>
      <c r="O16" s="28"/>
    </row>
    <row r="17" spans="1:15" x14ac:dyDescent="0.2">
      <c r="A17" s="45" t="s">
        <v>88</v>
      </c>
      <c r="B17" s="25">
        <v>2021</v>
      </c>
      <c r="C17" s="26">
        <v>45407</v>
      </c>
      <c r="D17" s="48" t="s">
        <v>87</v>
      </c>
      <c r="E17" s="47" t="s">
        <v>99</v>
      </c>
      <c r="F17" s="45" t="s">
        <v>51</v>
      </c>
      <c r="G17" s="27">
        <v>1405</v>
      </c>
      <c r="H17" s="27">
        <f>177+1228</f>
        <v>1405</v>
      </c>
      <c r="I17" s="27">
        <f t="shared" ref="I17" si="1">G17-H17</f>
        <v>0</v>
      </c>
      <c r="L17" s="25">
        <v>2021</v>
      </c>
      <c r="M17" s="25">
        <v>12</v>
      </c>
      <c r="N17" s="27">
        <v>1381</v>
      </c>
      <c r="O17" s="28"/>
    </row>
    <row r="18" spans="1:15" x14ac:dyDescent="0.2">
      <c r="A18" s="45" t="s">
        <v>53</v>
      </c>
      <c r="B18" s="25">
        <v>2021</v>
      </c>
      <c r="C18" s="26">
        <v>45408</v>
      </c>
      <c r="D18" s="48" t="s">
        <v>87</v>
      </c>
      <c r="E18" s="47" t="s">
        <v>100</v>
      </c>
      <c r="F18" s="45" t="s">
        <v>51</v>
      </c>
      <c r="G18" s="27">
        <v>2059</v>
      </c>
      <c r="H18" s="27">
        <f>153+126+442+768+175+395</f>
        <v>2059</v>
      </c>
      <c r="I18" s="27">
        <f t="shared" si="0"/>
        <v>0</v>
      </c>
      <c r="L18" s="25">
        <v>2022</v>
      </c>
      <c r="M18" s="25">
        <v>1</v>
      </c>
      <c r="N18" s="27">
        <v>126</v>
      </c>
    </row>
    <row r="19" spans="1:15" x14ac:dyDescent="0.2">
      <c r="A19" s="45" t="s">
        <v>96</v>
      </c>
      <c r="B19" s="25">
        <v>2022</v>
      </c>
      <c r="C19" s="26">
        <v>45408</v>
      </c>
      <c r="D19" s="48" t="s">
        <v>86</v>
      </c>
      <c r="E19" s="47" t="s">
        <v>101</v>
      </c>
      <c r="F19" s="45" t="s">
        <v>51</v>
      </c>
      <c r="G19" s="27">
        <v>3064</v>
      </c>
      <c r="H19" s="27">
        <f>2106+958</f>
        <v>3064</v>
      </c>
      <c r="I19" s="27">
        <f t="shared" ref="I19" si="2">G19-H19</f>
        <v>0</v>
      </c>
      <c r="L19" s="25">
        <v>2022</v>
      </c>
      <c r="M19" s="25">
        <v>2</v>
      </c>
      <c r="N19" s="27">
        <v>442</v>
      </c>
    </row>
    <row r="20" spans="1:15" x14ac:dyDescent="0.2">
      <c r="A20" s="49" t="s">
        <v>52</v>
      </c>
      <c r="B20" s="25">
        <v>2022</v>
      </c>
      <c r="C20" s="26">
        <v>45408</v>
      </c>
      <c r="D20" s="50" t="s">
        <v>86</v>
      </c>
      <c r="E20" s="51" t="s">
        <v>102</v>
      </c>
      <c r="F20" s="49" t="s">
        <v>51</v>
      </c>
      <c r="G20" s="27">
        <v>276</v>
      </c>
      <c r="H20" s="27">
        <f>236+40</f>
        <v>276</v>
      </c>
      <c r="I20" s="27">
        <f t="shared" si="0"/>
        <v>0</v>
      </c>
      <c r="L20" s="25">
        <v>2022</v>
      </c>
      <c r="M20" s="25">
        <v>3</v>
      </c>
      <c r="N20" s="27">
        <v>156</v>
      </c>
    </row>
    <row r="21" spans="1:15" x14ac:dyDescent="0.2">
      <c r="A21" s="52" t="s">
        <v>96</v>
      </c>
      <c r="B21" s="25">
        <v>2023</v>
      </c>
      <c r="C21" s="26">
        <v>45408</v>
      </c>
      <c r="D21" s="53" t="s">
        <v>86</v>
      </c>
      <c r="E21" s="54" t="s">
        <v>103</v>
      </c>
      <c r="F21" s="52" t="s">
        <v>51</v>
      </c>
      <c r="G21" s="27">
        <v>137</v>
      </c>
      <c r="H21" s="27">
        <f>137</f>
        <v>137</v>
      </c>
      <c r="I21" s="27">
        <f t="shared" ref="I21:I25" si="3">G21-H21</f>
        <v>0</v>
      </c>
      <c r="L21" s="25">
        <v>2022</v>
      </c>
      <c r="M21" s="25">
        <v>4</v>
      </c>
      <c r="N21" s="27">
        <v>768</v>
      </c>
    </row>
    <row r="22" spans="1:15" x14ac:dyDescent="0.2">
      <c r="A22" s="55" t="s">
        <v>91</v>
      </c>
      <c r="B22" s="25">
        <v>2023</v>
      </c>
      <c r="C22" s="26">
        <v>45408</v>
      </c>
      <c r="D22" s="56" t="s">
        <v>86</v>
      </c>
      <c r="E22" s="57" t="s">
        <v>104</v>
      </c>
      <c r="F22" s="55" t="s">
        <v>51</v>
      </c>
      <c r="G22" s="27">
        <v>865</v>
      </c>
      <c r="H22" s="27">
        <f>724+141</f>
        <v>865</v>
      </c>
      <c r="I22" s="27">
        <f t="shared" ref="I22" si="4">G22-H22</f>
        <v>0</v>
      </c>
      <c r="L22" s="25">
        <v>2022</v>
      </c>
      <c r="M22" s="25">
        <v>5</v>
      </c>
      <c r="N22" s="27">
        <v>175</v>
      </c>
    </row>
    <row r="23" spans="1:15" x14ac:dyDescent="0.2">
      <c r="A23" s="25"/>
      <c r="B23" s="25"/>
      <c r="C23" s="26"/>
      <c r="D23" s="26"/>
      <c r="E23" s="46"/>
      <c r="F23" s="25"/>
      <c r="G23" s="27"/>
      <c r="H23" s="27"/>
      <c r="I23" s="27">
        <f t="shared" si="3"/>
        <v>0</v>
      </c>
      <c r="L23" s="25">
        <v>2022</v>
      </c>
      <c r="M23" s="25">
        <v>7</v>
      </c>
      <c r="N23" s="27">
        <v>2501</v>
      </c>
      <c r="O23" s="28"/>
    </row>
    <row r="24" spans="1:15" x14ac:dyDescent="0.2">
      <c r="A24" s="25"/>
      <c r="B24" s="25"/>
      <c r="C24" s="26"/>
      <c r="D24" s="26"/>
      <c r="E24" s="46"/>
      <c r="F24" s="25"/>
      <c r="G24" s="27"/>
      <c r="H24" s="27"/>
      <c r="I24" s="27">
        <f t="shared" ref="I24" si="5">G24-H24</f>
        <v>0</v>
      </c>
      <c r="L24" s="25">
        <v>2022</v>
      </c>
      <c r="M24" s="25">
        <v>8</v>
      </c>
      <c r="N24" s="27">
        <v>958</v>
      </c>
    </row>
    <row r="25" spans="1:15" x14ac:dyDescent="0.2">
      <c r="A25" s="25"/>
      <c r="B25" s="25"/>
      <c r="C25" s="26"/>
      <c r="D25" s="26"/>
      <c r="E25" s="46"/>
      <c r="F25" s="25"/>
      <c r="G25" s="27"/>
      <c r="H25" s="27"/>
      <c r="I25" s="27">
        <f t="shared" si="3"/>
        <v>0</v>
      </c>
      <c r="L25" s="25">
        <v>2023</v>
      </c>
      <c r="M25" s="25">
        <v>1</v>
      </c>
      <c r="N25" s="27">
        <v>236</v>
      </c>
    </row>
    <row r="26" spans="1:15" x14ac:dyDescent="0.2">
      <c r="A26" s="25"/>
      <c r="B26" s="25"/>
      <c r="C26" s="26"/>
      <c r="D26" s="26"/>
      <c r="E26" s="46"/>
      <c r="F26" s="25"/>
      <c r="G26" s="27"/>
      <c r="H26" s="27"/>
      <c r="I26" s="27">
        <f t="shared" si="0"/>
        <v>0</v>
      </c>
      <c r="L26" s="25">
        <v>2023</v>
      </c>
      <c r="M26" s="25">
        <v>2</v>
      </c>
      <c r="N26" s="27">
        <v>40</v>
      </c>
    </row>
    <row r="27" spans="1:15" x14ac:dyDescent="0.2">
      <c r="A27" s="25"/>
      <c r="B27" s="25"/>
      <c r="C27" s="26"/>
      <c r="D27" s="26"/>
      <c r="E27" s="46"/>
      <c r="F27" s="25"/>
      <c r="G27" s="27"/>
      <c r="H27" s="27"/>
      <c r="I27" s="27">
        <f t="shared" ref="I27:I30" si="6">G27-H27</f>
        <v>0</v>
      </c>
      <c r="L27" s="25">
        <v>2023</v>
      </c>
      <c r="M27" s="25">
        <v>7</v>
      </c>
      <c r="N27" s="27">
        <v>137</v>
      </c>
    </row>
    <row r="28" spans="1:15" x14ac:dyDescent="0.2">
      <c r="A28" s="25"/>
      <c r="B28" s="25"/>
      <c r="C28" s="26"/>
      <c r="D28" s="26"/>
      <c r="E28" s="46"/>
      <c r="F28" s="25"/>
      <c r="G28" s="27"/>
      <c r="H28" s="27"/>
      <c r="I28" s="27">
        <f t="shared" si="6"/>
        <v>0</v>
      </c>
      <c r="L28" s="25">
        <v>2023</v>
      </c>
      <c r="M28" s="25">
        <v>12</v>
      </c>
      <c r="N28" s="27">
        <v>724</v>
      </c>
    </row>
    <row r="29" spans="1:15" x14ac:dyDescent="0.2">
      <c r="A29" s="25"/>
      <c r="B29" s="25"/>
      <c r="C29" s="26"/>
      <c r="D29" s="26"/>
      <c r="E29" s="46"/>
      <c r="F29" s="25"/>
      <c r="G29" s="27"/>
      <c r="H29" s="27"/>
      <c r="I29" s="27">
        <f t="shared" ref="I29" si="7">G29-H29</f>
        <v>0</v>
      </c>
      <c r="L29" s="25">
        <v>2024</v>
      </c>
      <c r="M29" s="25">
        <v>1</v>
      </c>
      <c r="N29" s="27">
        <v>141</v>
      </c>
    </row>
    <row r="30" spans="1:15" x14ac:dyDescent="0.2">
      <c r="A30" s="25"/>
      <c r="B30" s="25"/>
      <c r="C30" s="26"/>
      <c r="D30" s="26"/>
      <c r="E30" s="46"/>
      <c r="F30" s="25"/>
      <c r="G30" s="27"/>
      <c r="H30" s="27"/>
      <c r="I30" s="27">
        <f t="shared" si="6"/>
        <v>0</v>
      </c>
      <c r="L30" s="25"/>
      <c r="M30" s="25"/>
      <c r="N30" s="27"/>
    </row>
    <row r="31" spans="1:15" x14ac:dyDescent="0.2">
      <c r="A31" s="25"/>
      <c r="B31" s="25"/>
      <c r="C31" s="26"/>
      <c r="D31" s="26"/>
      <c r="E31" s="46"/>
      <c r="F31" s="25"/>
      <c r="G31" s="27"/>
      <c r="H31" s="27"/>
      <c r="I31" s="27">
        <f t="shared" si="0"/>
        <v>0</v>
      </c>
      <c r="L31" s="25"/>
      <c r="M31" s="25"/>
      <c r="N31" s="27"/>
    </row>
    <row r="32" spans="1:15" x14ac:dyDescent="0.2">
      <c r="A32" s="25"/>
      <c r="B32" s="25"/>
      <c r="C32" s="26"/>
      <c r="D32" s="26"/>
      <c r="E32" s="46"/>
      <c r="F32" s="25"/>
      <c r="G32" s="27"/>
      <c r="H32" s="27"/>
      <c r="I32" s="27">
        <f t="shared" si="0"/>
        <v>0</v>
      </c>
      <c r="L32" s="25"/>
      <c r="M32" s="25"/>
      <c r="N32" s="27"/>
    </row>
    <row r="33" spans="1:14" x14ac:dyDescent="0.2">
      <c r="A33" s="25"/>
      <c r="B33" s="25"/>
      <c r="C33" s="26"/>
      <c r="D33" s="26"/>
      <c r="E33" s="46"/>
      <c r="F33" s="25"/>
      <c r="G33" s="27"/>
      <c r="H33" s="27"/>
      <c r="I33" s="27">
        <f t="shared" si="0"/>
        <v>0</v>
      </c>
      <c r="L33" s="25"/>
      <c r="M33" s="25"/>
      <c r="N33" s="27"/>
    </row>
    <row r="35" spans="1:14" x14ac:dyDescent="0.2">
      <c r="G35" s="28">
        <f>SUM(G3:G34)</f>
        <v>63199</v>
      </c>
      <c r="H35" s="28">
        <f>SUM(H3:H34)</f>
        <v>63199</v>
      </c>
      <c r="I35" s="28">
        <f>G35-H35</f>
        <v>0</v>
      </c>
      <c r="J35" s="28"/>
      <c r="N35" s="28">
        <f>SUM(N3:N34)-156</f>
        <v>63199</v>
      </c>
    </row>
  </sheetData>
  <conditionalFormatting sqref="E3:E33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2670A-97AC-4CE2-94B2-3B3D037D0BDA}">
  <sheetPr>
    <tabColor theme="2" tint="-0.749992370372631"/>
  </sheetPr>
  <dimension ref="A1:U73"/>
  <sheetViews>
    <sheetView topLeftCell="B1" workbookViewId="0">
      <selection activeCell="H17" sqref="H17"/>
    </sheetView>
  </sheetViews>
  <sheetFormatPr baseColWidth="10" defaultRowHeight="12.75" x14ac:dyDescent="0.2"/>
  <cols>
    <col min="1" max="1" width="10.42578125" style="38" bestFit="1" customWidth="1"/>
    <col min="2" max="2" width="36.42578125" style="38" bestFit="1" customWidth="1"/>
    <col min="3" max="3" width="16.140625" style="38" bestFit="1" customWidth="1"/>
    <col min="4" max="4" width="16.5703125" style="38" bestFit="1" customWidth="1"/>
    <col min="5" max="5" width="9.85546875" style="38" customWidth="1"/>
    <col min="6" max="6" width="11.7109375" style="38" bestFit="1" customWidth="1"/>
    <col min="7" max="7" width="12.7109375" style="38" customWidth="1"/>
    <col min="8" max="8" width="11.140625" style="38" bestFit="1" customWidth="1"/>
    <col min="9" max="9" width="13.28515625" style="38" bestFit="1" customWidth="1"/>
    <col min="10" max="10" width="12.7109375" style="38" customWidth="1"/>
    <col min="11" max="11" width="11.42578125" style="38"/>
    <col min="12" max="12" width="5.28515625" style="38" customWidth="1"/>
    <col min="13" max="13" width="19.5703125" style="64" bestFit="1" customWidth="1"/>
    <col min="14" max="14" width="10.42578125" style="38" bestFit="1" customWidth="1"/>
    <col min="15" max="15" width="10.140625" style="38" bestFit="1" customWidth="1"/>
    <col min="16" max="16" width="12.7109375" style="38" customWidth="1"/>
    <col min="17" max="17" width="7.140625" style="38" bestFit="1" customWidth="1"/>
    <col min="18" max="18" width="11.42578125" style="38"/>
    <col min="19" max="19" width="10.7109375" style="38" customWidth="1"/>
    <col min="20" max="21" width="9.28515625" style="38" bestFit="1" customWidth="1"/>
    <col min="22" max="16384" width="11.42578125" style="38"/>
  </cols>
  <sheetData>
    <row r="1" spans="1:21" x14ac:dyDescent="0.2">
      <c r="A1" s="70"/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2"/>
      <c r="N1" s="71"/>
      <c r="O1" s="71"/>
      <c r="P1" s="71"/>
    </row>
    <row r="2" spans="1:21" x14ac:dyDescent="0.2">
      <c r="A2" s="18" t="s">
        <v>119</v>
      </c>
      <c r="B2" s="18" t="s">
        <v>70</v>
      </c>
      <c r="C2" s="18" t="s">
        <v>120</v>
      </c>
      <c r="D2" s="18" t="s">
        <v>143</v>
      </c>
      <c r="E2" s="63" t="s">
        <v>71</v>
      </c>
      <c r="F2" s="63" t="s">
        <v>72</v>
      </c>
      <c r="G2" s="18" t="s">
        <v>112</v>
      </c>
      <c r="H2" s="18" t="s">
        <v>77</v>
      </c>
      <c r="I2" s="18" t="s">
        <v>73</v>
      </c>
      <c r="K2" s="18" t="s">
        <v>78</v>
      </c>
      <c r="L2" s="18"/>
      <c r="M2" s="63" t="s">
        <v>110</v>
      </c>
    </row>
    <row r="3" spans="1:21" x14ac:dyDescent="0.2">
      <c r="B3" s="89" t="s">
        <v>155</v>
      </c>
      <c r="C3" s="38" t="s">
        <v>108</v>
      </c>
      <c r="D3" s="87" t="s">
        <v>157</v>
      </c>
      <c r="E3" s="41">
        <v>9481.9</v>
      </c>
      <c r="F3" s="39">
        <v>44443</v>
      </c>
      <c r="G3" s="40">
        <v>0.3</v>
      </c>
      <c r="H3" s="41">
        <f>ROUND(E3*G3,2)</f>
        <v>2844.57</v>
      </c>
      <c r="I3" s="41">
        <f>ROUND(H3/12,2)</f>
        <v>237.05</v>
      </c>
      <c r="K3" s="38">
        <v>114.601</v>
      </c>
      <c r="M3" s="64">
        <f>1/(1*G3/12)</f>
        <v>40</v>
      </c>
    </row>
    <row r="4" spans="1:21" x14ac:dyDescent="0.2">
      <c r="A4" s="83" t="s">
        <v>141</v>
      </c>
      <c r="B4" s="38" t="s">
        <v>156</v>
      </c>
    </row>
    <row r="5" spans="1:21" ht="33.75" x14ac:dyDescent="0.2">
      <c r="A5" s="84" t="s">
        <v>142</v>
      </c>
      <c r="B5" s="91" t="s">
        <v>175</v>
      </c>
      <c r="F5" s="68" t="s">
        <v>14</v>
      </c>
      <c r="G5" s="68" t="s">
        <v>75</v>
      </c>
      <c r="H5" s="68" t="s">
        <v>115</v>
      </c>
      <c r="I5" s="68" t="s">
        <v>114</v>
      </c>
      <c r="J5" s="68" t="s">
        <v>116</v>
      </c>
      <c r="K5" s="3"/>
      <c r="L5" s="3"/>
      <c r="M5" s="65" t="s">
        <v>111</v>
      </c>
      <c r="N5" s="65" t="s">
        <v>117</v>
      </c>
      <c r="O5" s="69" t="s">
        <v>8</v>
      </c>
      <c r="P5" s="69" t="s">
        <v>118</v>
      </c>
    </row>
    <row r="6" spans="1:21" x14ac:dyDescent="0.2">
      <c r="A6" s="83" t="s">
        <v>160</v>
      </c>
      <c r="B6" s="82" t="s">
        <v>163</v>
      </c>
      <c r="F6" s="18">
        <v>2021</v>
      </c>
      <c r="G6" s="41">
        <f>E3</f>
        <v>9481.9</v>
      </c>
      <c r="H6" s="38">
        <v>3</v>
      </c>
      <c r="I6" s="41">
        <f>ROUND(H6*$I$3,2)</f>
        <v>711.15</v>
      </c>
      <c r="J6" s="41">
        <f>G6-I6</f>
        <v>8770.75</v>
      </c>
      <c r="M6" s="64">
        <v>12</v>
      </c>
      <c r="N6" s="38">
        <v>117.30800000000001</v>
      </c>
      <c r="O6" s="42">
        <f>TRUNC(N6/$K$3,4)</f>
        <v>1.0236000000000001</v>
      </c>
      <c r="P6" s="41">
        <f>ROUND(I6*O6,0)</f>
        <v>728</v>
      </c>
    </row>
    <row r="7" spans="1:21" x14ac:dyDescent="0.2">
      <c r="A7" s="83" t="s">
        <v>152</v>
      </c>
      <c r="B7" s="82" t="s">
        <v>153</v>
      </c>
      <c r="F7" s="18">
        <v>2022</v>
      </c>
      <c r="G7" s="41">
        <f>J6</f>
        <v>8770.75</v>
      </c>
      <c r="H7" s="38">
        <v>12</v>
      </c>
      <c r="I7" s="41">
        <f>ROUND(H7*$I$3,2)</f>
        <v>2844.6</v>
      </c>
      <c r="J7" s="41">
        <f>G7-I7</f>
        <v>5926.15</v>
      </c>
      <c r="M7" s="64">
        <v>6</v>
      </c>
      <c r="N7" s="38">
        <v>122.044</v>
      </c>
      <c r="O7" s="42">
        <f>TRUNC(N7/$K$3,4)</f>
        <v>1.0649</v>
      </c>
      <c r="P7" s="41">
        <f>ROUND(I7*O7,0)</f>
        <v>3029</v>
      </c>
      <c r="R7" s="18" t="s">
        <v>122</v>
      </c>
      <c r="S7" s="18"/>
    </row>
    <row r="8" spans="1:21" x14ac:dyDescent="0.2">
      <c r="F8" s="18">
        <v>2023</v>
      </c>
      <c r="G8" s="41">
        <f>J7</f>
        <v>5926.15</v>
      </c>
      <c r="H8" s="38">
        <v>12</v>
      </c>
      <c r="I8" s="41">
        <f>ROUND(H8*$I$3,2)</f>
        <v>2844.6</v>
      </c>
      <c r="J8" s="41">
        <f>G8-I8</f>
        <v>3081.5499999999997</v>
      </c>
      <c r="M8" s="64">
        <v>6</v>
      </c>
      <c r="N8" s="38">
        <v>128.214</v>
      </c>
      <c r="O8" s="42">
        <f>TRUNC(N8/$K$3,4)</f>
        <v>1.1187</v>
      </c>
      <c r="P8" s="41">
        <f>ROUND(I8*O8,0)</f>
        <v>3182</v>
      </c>
      <c r="R8" s="18" t="s">
        <v>14</v>
      </c>
      <c r="S8" s="18" t="s">
        <v>71</v>
      </c>
      <c r="T8" s="18" t="s">
        <v>123</v>
      </c>
      <c r="U8" s="18" t="s">
        <v>124</v>
      </c>
    </row>
    <row r="9" spans="1:21" x14ac:dyDescent="0.2">
      <c r="F9" s="18">
        <v>2024</v>
      </c>
      <c r="G9" s="41">
        <f>J8</f>
        <v>3081.5499999999997</v>
      </c>
      <c r="H9" s="38">
        <v>12</v>
      </c>
      <c r="I9" s="41">
        <f>ROUND(H9*$I$3,2)</f>
        <v>2844.6</v>
      </c>
      <c r="J9" s="41">
        <f>G9-I9</f>
        <v>236.94999999999982</v>
      </c>
      <c r="M9" s="64">
        <v>6</v>
      </c>
      <c r="N9" s="38">
        <v>134.59399999999999</v>
      </c>
      <c r="O9" s="42">
        <f>TRUNC(N9/$K$3,4)</f>
        <v>1.1744000000000001</v>
      </c>
      <c r="P9" s="41">
        <f>ROUND(I9*O9,0)</f>
        <v>3341</v>
      </c>
      <c r="R9" s="18">
        <v>2021</v>
      </c>
      <c r="S9" s="80">
        <f>E3</f>
        <v>9481.9</v>
      </c>
      <c r="T9" s="41">
        <f>I6</f>
        <v>711.15</v>
      </c>
      <c r="U9" s="41">
        <f>P6</f>
        <v>728</v>
      </c>
    </row>
    <row r="10" spans="1:21" x14ac:dyDescent="0.2">
      <c r="F10" s="18">
        <v>2025</v>
      </c>
      <c r="G10" s="41">
        <f>J9</f>
        <v>236.94999999999982</v>
      </c>
      <c r="H10" s="38">
        <v>1</v>
      </c>
      <c r="I10" s="41">
        <f>ROUND(H10*$I$3,2)-0.1</f>
        <v>236.95000000000002</v>
      </c>
      <c r="J10" s="41">
        <f>G10-I10</f>
        <v>0</v>
      </c>
      <c r="M10" s="64">
        <v>1</v>
      </c>
      <c r="O10" s="42">
        <f>TRUNC(N10/$K$3,4)</f>
        <v>0</v>
      </c>
      <c r="P10" s="41">
        <f>ROUND(I10*O10,0)</f>
        <v>0</v>
      </c>
      <c r="R10" s="18">
        <v>2022</v>
      </c>
      <c r="S10" s="80">
        <f>E3+E14</f>
        <v>20687.93</v>
      </c>
      <c r="T10" s="41">
        <f>I7+I17</f>
        <v>4525.5</v>
      </c>
      <c r="U10" s="41">
        <f>P7+P17</f>
        <v>4732</v>
      </c>
    </row>
    <row r="11" spans="1:21" ht="13.5" thickBot="1" x14ac:dyDescent="0.25">
      <c r="A11" s="66"/>
      <c r="B11" s="66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7"/>
      <c r="N11" s="66"/>
      <c r="O11" s="66"/>
      <c r="P11" s="66"/>
      <c r="R11" s="18">
        <v>2023</v>
      </c>
      <c r="S11" s="80">
        <f>E3+E14</f>
        <v>20687.93</v>
      </c>
      <c r="T11" s="41">
        <f>I8+I18</f>
        <v>6206.4</v>
      </c>
      <c r="U11" s="41">
        <f>P8+P18</f>
        <v>6688</v>
      </c>
    </row>
    <row r="12" spans="1:21" x14ac:dyDescent="0.2">
      <c r="R12" s="18">
        <v>2024</v>
      </c>
      <c r="S12" s="80">
        <f>E3+E14+E24+E34+E44+E54+E65</f>
        <v>63260.319999999992</v>
      </c>
      <c r="T12" s="41">
        <f>I9+I19+I27+I37+I47+I57+I68</f>
        <v>11661.21</v>
      </c>
      <c r="U12" s="41">
        <f>P9+P19+P27+P37+P47+P57+P68</f>
        <v>12543</v>
      </c>
    </row>
    <row r="13" spans="1:21" x14ac:dyDescent="0.2">
      <c r="A13" s="18" t="s">
        <v>119</v>
      </c>
      <c r="B13" s="18" t="s">
        <v>70</v>
      </c>
      <c r="C13" s="18" t="s">
        <v>120</v>
      </c>
      <c r="D13" s="18" t="s">
        <v>143</v>
      </c>
      <c r="E13" s="63" t="s">
        <v>71</v>
      </c>
      <c r="F13" s="63" t="s">
        <v>72</v>
      </c>
      <c r="G13" s="18" t="s">
        <v>112</v>
      </c>
      <c r="H13" s="18" t="s">
        <v>77</v>
      </c>
      <c r="I13" s="18" t="s">
        <v>73</v>
      </c>
      <c r="K13" s="18" t="s">
        <v>78</v>
      </c>
      <c r="L13" s="18"/>
      <c r="M13" s="63" t="s">
        <v>110</v>
      </c>
      <c r="R13" s="18">
        <v>2025</v>
      </c>
      <c r="S13" s="80"/>
      <c r="T13" s="41"/>
      <c r="U13" s="41"/>
    </row>
    <row r="14" spans="1:21" x14ac:dyDescent="0.2">
      <c r="B14" s="89" t="s">
        <v>158</v>
      </c>
      <c r="C14" s="38" t="s">
        <v>108</v>
      </c>
      <c r="D14" s="86" t="s">
        <v>162</v>
      </c>
      <c r="E14" s="41">
        <v>11206.03</v>
      </c>
      <c r="F14" s="43">
        <v>44743</v>
      </c>
      <c r="G14" s="40">
        <v>0.3</v>
      </c>
      <c r="H14" s="41">
        <f>ROUND(E14*G14,2)</f>
        <v>3361.81</v>
      </c>
      <c r="I14" s="41">
        <f>ROUND(H14/12,2)</f>
        <v>280.14999999999998</v>
      </c>
      <c r="K14" s="38">
        <v>122.94799999999999</v>
      </c>
      <c r="M14" s="64">
        <f>1/(1*G14/12)</f>
        <v>40</v>
      </c>
      <c r="R14" s="18">
        <v>2026</v>
      </c>
      <c r="S14" s="80"/>
      <c r="T14" s="41"/>
      <c r="U14" s="41"/>
    </row>
    <row r="15" spans="1:21" x14ac:dyDescent="0.2">
      <c r="A15" s="83" t="s">
        <v>141</v>
      </c>
      <c r="B15" s="85" t="s">
        <v>159</v>
      </c>
      <c r="R15" s="18">
        <v>2027</v>
      </c>
      <c r="S15" s="80"/>
      <c r="T15" s="41"/>
      <c r="U15" s="41"/>
    </row>
    <row r="16" spans="1:21" ht="33.75" x14ac:dyDescent="0.2">
      <c r="A16" s="84" t="s">
        <v>142</v>
      </c>
      <c r="B16" s="91" t="s">
        <v>174</v>
      </c>
      <c r="G16" s="68" t="s">
        <v>75</v>
      </c>
      <c r="H16" s="68" t="s">
        <v>115</v>
      </c>
      <c r="I16" s="68" t="s">
        <v>114</v>
      </c>
      <c r="J16" s="68" t="s">
        <v>116</v>
      </c>
      <c r="K16" s="3"/>
      <c r="L16" s="3"/>
      <c r="M16" s="65" t="s">
        <v>111</v>
      </c>
      <c r="N16" s="65" t="s">
        <v>117</v>
      </c>
      <c r="O16" s="69" t="s">
        <v>8</v>
      </c>
      <c r="P16" s="69" t="s">
        <v>118</v>
      </c>
      <c r="Q16" s="90" t="s">
        <v>176</v>
      </c>
      <c r="R16" s="92">
        <v>2028</v>
      </c>
      <c r="S16" s="93"/>
      <c r="T16" s="94"/>
      <c r="U16" s="94"/>
    </row>
    <row r="17" spans="1:18" x14ac:dyDescent="0.2">
      <c r="A17" s="83" t="s">
        <v>160</v>
      </c>
      <c r="B17" s="82" t="s">
        <v>161</v>
      </c>
      <c r="F17" s="18">
        <v>2022</v>
      </c>
      <c r="G17" s="41">
        <f>E14</f>
        <v>11206.03</v>
      </c>
      <c r="H17" s="38">
        <v>6</v>
      </c>
      <c r="I17" s="41">
        <f>ROUND(H17*$I$14,2)</f>
        <v>1680.9</v>
      </c>
      <c r="J17" s="41">
        <f>G17-I17</f>
        <v>9525.130000000001</v>
      </c>
      <c r="M17" s="64">
        <v>9</v>
      </c>
      <c r="N17" s="38">
        <v>124.571</v>
      </c>
      <c r="O17" s="42">
        <f>TRUNC(N17/$K$14,4)</f>
        <v>1.0132000000000001</v>
      </c>
      <c r="P17" s="41">
        <f>ROUND(I17*O17,0)</f>
        <v>1703</v>
      </c>
      <c r="Q17" s="38">
        <v>1827</v>
      </c>
      <c r="R17" s="41"/>
    </row>
    <row r="18" spans="1:18" x14ac:dyDescent="0.2">
      <c r="A18" s="83" t="s">
        <v>152</v>
      </c>
      <c r="B18" s="82" t="s">
        <v>153</v>
      </c>
      <c r="F18" s="18">
        <v>2023</v>
      </c>
      <c r="G18" s="41">
        <f>J17</f>
        <v>9525.130000000001</v>
      </c>
      <c r="H18" s="38">
        <v>12</v>
      </c>
      <c r="I18" s="41">
        <f t="shared" ref="I18:I19" si="0">ROUND(H18*$I$14,2)</f>
        <v>3361.8</v>
      </c>
      <c r="J18" s="41">
        <f>G18-I18</f>
        <v>6163.3300000000008</v>
      </c>
      <c r="M18" s="64">
        <v>6</v>
      </c>
      <c r="N18" s="38">
        <v>128.214</v>
      </c>
      <c r="O18" s="42">
        <f t="shared" ref="O18:O20" si="1">TRUNC(N18/$K$14,4)</f>
        <v>1.0427999999999999</v>
      </c>
      <c r="P18" s="41">
        <f>ROUND(I18*O18,0)</f>
        <v>3506</v>
      </c>
      <c r="Q18" s="38">
        <v>3761</v>
      </c>
      <c r="R18" s="41"/>
    </row>
    <row r="19" spans="1:18" x14ac:dyDescent="0.2">
      <c r="F19" s="18">
        <v>2024</v>
      </c>
      <c r="G19" s="41">
        <f>J18</f>
        <v>6163.3300000000008</v>
      </c>
      <c r="H19" s="38">
        <v>12</v>
      </c>
      <c r="I19" s="41">
        <f t="shared" si="0"/>
        <v>3361.8</v>
      </c>
      <c r="J19" s="41">
        <f>G19-I19</f>
        <v>2801.5300000000007</v>
      </c>
      <c r="M19" s="64">
        <v>6</v>
      </c>
      <c r="N19" s="38">
        <v>134.59399999999999</v>
      </c>
      <c r="O19" s="42">
        <f t="shared" si="1"/>
        <v>1.0947</v>
      </c>
      <c r="P19" s="41">
        <f>ROUND(I19*O19,0)</f>
        <v>3680</v>
      </c>
      <c r="R19" s="41"/>
    </row>
    <row r="20" spans="1:18" x14ac:dyDescent="0.2">
      <c r="F20" s="18">
        <v>2025</v>
      </c>
      <c r="G20" s="41">
        <f>J19</f>
        <v>2801.5300000000007</v>
      </c>
      <c r="H20" s="38">
        <v>10</v>
      </c>
      <c r="I20" s="41">
        <f>ROUND(H20*$I$14,2)+0.03</f>
        <v>2801.53</v>
      </c>
      <c r="J20" s="41">
        <f>G20-I20</f>
        <v>0</v>
      </c>
      <c r="M20" s="64">
        <v>5</v>
      </c>
      <c r="O20" s="42">
        <f t="shared" si="1"/>
        <v>0</v>
      </c>
      <c r="P20" s="41">
        <f>ROUND(I20*O20,0)</f>
        <v>0</v>
      </c>
    </row>
    <row r="21" spans="1:18" ht="13.5" thickBot="1" x14ac:dyDescent="0.25">
      <c r="A21" s="66"/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7"/>
      <c r="N21" s="66"/>
      <c r="O21" s="66"/>
      <c r="P21" s="66"/>
    </row>
    <row r="23" spans="1:18" x14ac:dyDescent="0.2">
      <c r="A23" s="18" t="s">
        <v>119</v>
      </c>
      <c r="B23" s="18" t="s">
        <v>70</v>
      </c>
      <c r="C23" s="18" t="s">
        <v>120</v>
      </c>
      <c r="D23" s="18" t="s">
        <v>143</v>
      </c>
      <c r="E23" s="63" t="s">
        <v>71</v>
      </c>
      <c r="F23" s="63" t="s">
        <v>72</v>
      </c>
      <c r="G23" s="18" t="s">
        <v>112</v>
      </c>
      <c r="H23" s="18" t="s">
        <v>77</v>
      </c>
      <c r="I23" s="18" t="s">
        <v>73</v>
      </c>
      <c r="K23" s="18" t="s">
        <v>78</v>
      </c>
      <c r="L23" s="18"/>
      <c r="M23" s="63" t="s">
        <v>110</v>
      </c>
    </row>
    <row r="24" spans="1:18" x14ac:dyDescent="0.2">
      <c r="B24" s="88" t="s">
        <v>107</v>
      </c>
      <c r="C24" s="38" t="s">
        <v>108</v>
      </c>
      <c r="D24" s="87" t="s">
        <v>148</v>
      </c>
      <c r="E24" s="41">
        <f>14991.36+343.1</f>
        <v>15334.460000000001</v>
      </c>
      <c r="F24" s="43">
        <v>45431</v>
      </c>
      <c r="G24" s="40">
        <v>0.3</v>
      </c>
      <c r="H24" s="41">
        <f>ROUND(E24*G24,2)</f>
        <v>4600.34</v>
      </c>
      <c r="I24" s="41">
        <f>ROUND(H24/12,2)</f>
        <v>383.36</v>
      </c>
      <c r="K24" s="38">
        <v>134.08699999999999</v>
      </c>
      <c r="M24" s="64">
        <f>1/(1*G24/12)</f>
        <v>40</v>
      </c>
    </row>
    <row r="25" spans="1:18" x14ac:dyDescent="0.2">
      <c r="A25" s="83" t="s">
        <v>141</v>
      </c>
      <c r="B25" s="38" t="s">
        <v>147</v>
      </c>
    </row>
    <row r="26" spans="1:18" ht="33.75" x14ac:dyDescent="0.2">
      <c r="A26" s="84" t="s">
        <v>142</v>
      </c>
      <c r="B26" s="91" t="s">
        <v>173</v>
      </c>
      <c r="G26" s="68" t="s">
        <v>75</v>
      </c>
      <c r="H26" s="68" t="s">
        <v>115</v>
      </c>
      <c r="I26" s="68" t="s">
        <v>114</v>
      </c>
      <c r="J26" s="68" t="s">
        <v>116</v>
      </c>
      <c r="K26" s="3"/>
      <c r="L26" s="3"/>
      <c r="M26" s="65" t="s">
        <v>111</v>
      </c>
      <c r="N26" s="65" t="s">
        <v>117</v>
      </c>
      <c r="O26" s="69" t="s">
        <v>8</v>
      </c>
      <c r="P26" s="69" t="s">
        <v>118</v>
      </c>
    </row>
    <row r="27" spans="1:18" x14ac:dyDescent="0.2">
      <c r="A27" s="83" t="s">
        <v>160</v>
      </c>
      <c r="B27" s="82" t="s">
        <v>164</v>
      </c>
      <c r="F27" s="18">
        <v>2024</v>
      </c>
      <c r="G27" s="41">
        <f>E24</f>
        <v>15334.460000000001</v>
      </c>
      <c r="H27" s="38">
        <v>7</v>
      </c>
      <c r="I27" s="41">
        <f>ROUND(H27*$I$24,2)</f>
        <v>2683.52</v>
      </c>
      <c r="J27" s="41">
        <f>G27-I27</f>
        <v>12650.94</v>
      </c>
      <c r="M27" s="64">
        <v>8</v>
      </c>
      <c r="N27" s="38">
        <v>136.01300000000001</v>
      </c>
      <c r="O27" s="42">
        <f>TRUNC(N27/$K$24,4)</f>
        <v>1.0143</v>
      </c>
      <c r="P27" s="41">
        <f>ROUND(I27*O27,0)</f>
        <v>2722</v>
      </c>
    </row>
    <row r="28" spans="1:18" x14ac:dyDescent="0.2">
      <c r="A28" s="83" t="s">
        <v>152</v>
      </c>
      <c r="B28" s="82" t="s">
        <v>153</v>
      </c>
      <c r="F28" s="18">
        <v>2025</v>
      </c>
      <c r="G28" s="41">
        <f>J27</f>
        <v>12650.94</v>
      </c>
      <c r="H28" s="38">
        <v>12</v>
      </c>
      <c r="I28" s="41">
        <f t="shared" ref="I28:I29" si="2">ROUND(H28*$I$24,2)</f>
        <v>4600.32</v>
      </c>
      <c r="J28" s="41">
        <f>G28-I28</f>
        <v>8050.6200000000008</v>
      </c>
      <c r="M28" s="64">
        <v>6</v>
      </c>
      <c r="O28" s="42">
        <f>TRUNC(N28/$K$24,4)</f>
        <v>0</v>
      </c>
      <c r="P28" s="41">
        <f>ROUND(I28*O28,0)</f>
        <v>0</v>
      </c>
    </row>
    <row r="29" spans="1:18" x14ac:dyDescent="0.2">
      <c r="F29" s="18">
        <v>2026</v>
      </c>
      <c r="G29" s="41">
        <f>J28</f>
        <v>8050.6200000000008</v>
      </c>
      <c r="H29" s="38">
        <v>12</v>
      </c>
      <c r="I29" s="41">
        <f t="shared" si="2"/>
        <v>4600.32</v>
      </c>
      <c r="J29" s="41">
        <f>G29-I29</f>
        <v>3450.3000000000011</v>
      </c>
      <c r="M29" s="64">
        <v>6</v>
      </c>
      <c r="O29" s="42">
        <f>TRUNC(N29/$K$24,4)</f>
        <v>0</v>
      </c>
      <c r="P29" s="41">
        <f>ROUND(I29*O29,0)</f>
        <v>0</v>
      </c>
    </row>
    <row r="30" spans="1:18" x14ac:dyDescent="0.2">
      <c r="F30" s="18">
        <v>2027</v>
      </c>
      <c r="G30" s="41">
        <f>J29</f>
        <v>3450.3000000000011</v>
      </c>
      <c r="H30" s="38">
        <v>9</v>
      </c>
      <c r="I30" s="41">
        <f>ROUND(H30*$I$24,2)+0.06</f>
        <v>3450.2999999999997</v>
      </c>
      <c r="J30" s="41">
        <f>G30-I30</f>
        <v>0</v>
      </c>
      <c r="M30" s="64">
        <v>4</v>
      </c>
      <c r="O30" s="42">
        <f>TRUNC(N30/$K$24,4)</f>
        <v>0</v>
      </c>
      <c r="P30" s="41">
        <f>ROUND(I30*O30,0)</f>
        <v>0</v>
      </c>
    </row>
    <row r="31" spans="1:18" ht="13.5" thickBot="1" x14ac:dyDescent="0.25">
      <c r="A31" s="66"/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7"/>
      <c r="N31" s="66"/>
      <c r="O31" s="66"/>
      <c r="P31" s="66"/>
    </row>
    <row r="33" spans="1:16" x14ac:dyDescent="0.2">
      <c r="A33" s="18" t="s">
        <v>119</v>
      </c>
      <c r="B33" s="18" t="s">
        <v>70</v>
      </c>
      <c r="C33" s="18" t="s">
        <v>120</v>
      </c>
      <c r="D33" s="18" t="s">
        <v>143</v>
      </c>
      <c r="E33" s="63" t="s">
        <v>71</v>
      </c>
      <c r="F33" s="63" t="s">
        <v>72</v>
      </c>
      <c r="G33" s="18" t="s">
        <v>112</v>
      </c>
      <c r="H33" s="18" t="s">
        <v>77</v>
      </c>
      <c r="I33" s="18" t="s">
        <v>73</v>
      </c>
      <c r="K33" s="18" t="s">
        <v>78</v>
      </c>
      <c r="L33" s="18"/>
      <c r="M33" s="63" t="s">
        <v>110</v>
      </c>
    </row>
    <row r="34" spans="1:16" x14ac:dyDescent="0.2">
      <c r="B34" s="88" t="s">
        <v>109</v>
      </c>
      <c r="C34" s="38" t="s">
        <v>108</v>
      </c>
      <c r="D34" s="87" t="s">
        <v>145</v>
      </c>
      <c r="E34" s="41">
        <v>9481.89</v>
      </c>
      <c r="F34" s="43">
        <v>45473</v>
      </c>
      <c r="G34" s="40">
        <v>0.3</v>
      </c>
      <c r="H34" s="41">
        <f>ROUND(E34*G34,2)</f>
        <v>2844.57</v>
      </c>
      <c r="I34" s="41">
        <f>ROUND(H34/12,2)</f>
        <v>237.05</v>
      </c>
      <c r="K34" s="38">
        <v>134.59399999999999</v>
      </c>
      <c r="M34" s="64">
        <f>1/(1*G34/12)</f>
        <v>40</v>
      </c>
    </row>
    <row r="35" spans="1:16" x14ac:dyDescent="0.2">
      <c r="A35" s="83" t="s">
        <v>141</v>
      </c>
      <c r="B35" s="38" t="s">
        <v>146</v>
      </c>
    </row>
    <row r="36" spans="1:16" ht="33.75" x14ac:dyDescent="0.2">
      <c r="A36" s="84" t="s">
        <v>142</v>
      </c>
      <c r="B36" s="91" t="s">
        <v>172</v>
      </c>
      <c r="G36" s="68" t="s">
        <v>75</v>
      </c>
      <c r="H36" s="68" t="s">
        <v>115</v>
      </c>
      <c r="I36" s="68" t="s">
        <v>114</v>
      </c>
      <c r="J36" s="68" t="s">
        <v>116</v>
      </c>
      <c r="K36" s="3"/>
      <c r="L36" s="3"/>
      <c r="M36" s="65" t="s">
        <v>111</v>
      </c>
      <c r="N36" s="65" t="s">
        <v>117</v>
      </c>
      <c r="O36" s="69" t="s">
        <v>8</v>
      </c>
      <c r="P36" s="69" t="s">
        <v>118</v>
      </c>
    </row>
    <row r="37" spans="1:16" x14ac:dyDescent="0.2">
      <c r="A37" s="83" t="s">
        <v>160</v>
      </c>
      <c r="B37" s="82" t="s">
        <v>165</v>
      </c>
      <c r="F37" s="18">
        <v>2024</v>
      </c>
      <c r="G37" s="41">
        <f>E34</f>
        <v>9481.89</v>
      </c>
      <c r="H37" s="38">
        <v>6</v>
      </c>
      <c r="I37" s="41">
        <f>ROUND(H37*$I$34,2)</f>
        <v>1422.3</v>
      </c>
      <c r="J37" s="41">
        <f>G37-I37</f>
        <v>8059.5899999999992</v>
      </c>
      <c r="M37" s="64">
        <v>9</v>
      </c>
      <c r="N37" s="38">
        <v>136.08000000000001</v>
      </c>
      <c r="O37" s="42">
        <f>TRUNC(N37/$K$34,4)</f>
        <v>1.0109999999999999</v>
      </c>
      <c r="P37" s="41">
        <f>ROUND(I37*O37,0)</f>
        <v>1438</v>
      </c>
    </row>
    <row r="38" spans="1:16" x14ac:dyDescent="0.2">
      <c r="A38" s="83" t="s">
        <v>152</v>
      </c>
      <c r="B38" s="82" t="s">
        <v>153</v>
      </c>
      <c r="F38" s="18">
        <v>2025</v>
      </c>
      <c r="G38" s="41">
        <f>J37</f>
        <v>8059.5899999999992</v>
      </c>
      <c r="H38" s="38">
        <v>12</v>
      </c>
      <c r="I38" s="41">
        <f t="shared" ref="I38:I39" si="3">ROUND(H38*$I$34,2)</f>
        <v>2844.6</v>
      </c>
      <c r="J38" s="41">
        <f>G38-I38</f>
        <v>5214.99</v>
      </c>
      <c r="M38" s="64">
        <v>6</v>
      </c>
      <c r="O38" s="42">
        <f t="shared" ref="O38:O40" si="4">TRUNC(N38/$K$34,4)</f>
        <v>0</v>
      </c>
      <c r="P38" s="41">
        <f>ROUND(I38*O38,0)</f>
        <v>0</v>
      </c>
    </row>
    <row r="39" spans="1:16" x14ac:dyDescent="0.2">
      <c r="F39" s="18">
        <v>2026</v>
      </c>
      <c r="G39" s="41">
        <f>J38</f>
        <v>5214.99</v>
      </c>
      <c r="H39" s="38">
        <v>12</v>
      </c>
      <c r="I39" s="41">
        <f t="shared" si="3"/>
        <v>2844.6</v>
      </c>
      <c r="J39" s="41">
        <f>G39-I39</f>
        <v>2370.39</v>
      </c>
      <c r="M39" s="64">
        <v>6</v>
      </c>
      <c r="O39" s="42">
        <f t="shared" si="4"/>
        <v>0</v>
      </c>
      <c r="P39" s="41">
        <f>ROUND(I39*O39,0)</f>
        <v>0</v>
      </c>
    </row>
    <row r="40" spans="1:16" x14ac:dyDescent="0.2">
      <c r="F40" s="18">
        <v>2027</v>
      </c>
      <c r="G40" s="41">
        <f>J39</f>
        <v>2370.39</v>
      </c>
      <c r="H40" s="38">
        <v>10</v>
      </c>
      <c r="I40" s="41">
        <f>ROUND(H40*$I$34,2)-0.11</f>
        <v>2370.39</v>
      </c>
      <c r="J40" s="41">
        <f>G40-I40</f>
        <v>0</v>
      </c>
      <c r="M40" s="64">
        <v>5</v>
      </c>
      <c r="O40" s="42">
        <f t="shared" si="4"/>
        <v>0</v>
      </c>
      <c r="P40" s="41">
        <f>ROUND(I40*O40,0)</f>
        <v>0</v>
      </c>
    </row>
    <row r="41" spans="1:16" ht="13.5" thickBot="1" x14ac:dyDescent="0.25">
      <c r="A41" s="66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7"/>
      <c r="N41" s="66"/>
      <c r="O41" s="66"/>
      <c r="P41" s="66"/>
    </row>
    <row r="43" spans="1:16" x14ac:dyDescent="0.2">
      <c r="A43" s="18" t="s">
        <v>119</v>
      </c>
      <c r="B43" s="18" t="s">
        <v>70</v>
      </c>
      <c r="C43" s="18" t="s">
        <v>120</v>
      </c>
      <c r="D43" s="18" t="s">
        <v>143</v>
      </c>
      <c r="E43" s="63" t="s">
        <v>71</v>
      </c>
      <c r="F43" s="63" t="s">
        <v>72</v>
      </c>
      <c r="G43" s="18" t="s">
        <v>112</v>
      </c>
      <c r="H43" s="18" t="s">
        <v>77</v>
      </c>
      <c r="I43" s="18" t="s">
        <v>73</v>
      </c>
      <c r="K43" s="18" t="s">
        <v>78</v>
      </c>
      <c r="L43" s="18"/>
      <c r="M43" s="63" t="s">
        <v>110</v>
      </c>
    </row>
    <row r="44" spans="1:16" x14ac:dyDescent="0.2">
      <c r="B44" s="88" t="s">
        <v>113</v>
      </c>
      <c r="C44" s="38" t="s">
        <v>108</v>
      </c>
      <c r="D44" s="87" t="s">
        <v>150</v>
      </c>
      <c r="E44" s="41">
        <v>9050.86</v>
      </c>
      <c r="F44" s="43">
        <v>45486</v>
      </c>
      <c r="G44" s="40">
        <v>0.3</v>
      </c>
      <c r="H44" s="41">
        <f>ROUND(E44*G44,2)</f>
        <v>2715.26</v>
      </c>
      <c r="I44" s="41">
        <f>ROUND(H44/12,2)</f>
        <v>226.27</v>
      </c>
      <c r="K44" s="38">
        <v>134.59399999999999</v>
      </c>
      <c r="M44" s="64">
        <f>1/(1*G44/12)</f>
        <v>40</v>
      </c>
    </row>
    <row r="45" spans="1:16" x14ac:dyDescent="0.2">
      <c r="A45" s="83" t="s">
        <v>141</v>
      </c>
      <c r="B45" s="82" t="s">
        <v>144</v>
      </c>
    </row>
    <row r="46" spans="1:16" ht="33.75" x14ac:dyDescent="0.2">
      <c r="A46" s="84" t="s">
        <v>142</v>
      </c>
      <c r="B46" s="91" t="s">
        <v>171</v>
      </c>
      <c r="G46" s="68" t="s">
        <v>75</v>
      </c>
      <c r="H46" s="68" t="s">
        <v>115</v>
      </c>
      <c r="I46" s="68" t="s">
        <v>114</v>
      </c>
      <c r="J46" s="68" t="s">
        <v>116</v>
      </c>
      <c r="K46" s="3"/>
      <c r="L46" s="3"/>
      <c r="M46" s="65" t="s">
        <v>111</v>
      </c>
      <c r="N46" s="65" t="s">
        <v>117</v>
      </c>
      <c r="O46" s="69" t="s">
        <v>8</v>
      </c>
      <c r="P46" s="69" t="s">
        <v>118</v>
      </c>
    </row>
    <row r="47" spans="1:16" x14ac:dyDescent="0.2">
      <c r="A47" s="83" t="s">
        <v>160</v>
      </c>
      <c r="B47" s="82" t="s">
        <v>166</v>
      </c>
      <c r="F47" s="18">
        <v>2024</v>
      </c>
      <c r="G47" s="41">
        <f>E44</f>
        <v>9050.86</v>
      </c>
      <c r="H47" s="38">
        <v>5</v>
      </c>
      <c r="I47" s="41">
        <f>ROUND(H47*$I$44,2)</f>
        <v>1131.3499999999999</v>
      </c>
      <c r="J47" s="41">
        <f>G47-I47</f>
        <v>7919.51</v>
      </c>
      <c r="M47" s="64">
        <v>9</v>
      </c>
      <c r="N47" s="38">
        <v>136.08000000000001</v>
      </c>
      <c r="O47" s="42">
        <f>TRUNC(N47/$K$44,4)</f>
        <v>1.0109999999999999</v>
      </c>
      <c r="P47" s="41">
        <f>ROUND(I47*O47,0)</f>
        <v>1144</v>
      </c>
    </row>
    <row r="48" spans="1:16" x14ac:dyDescent="0.2">
      <c r="A48" s="83" t="s">
        <v>152</v>
      </c>
      <c r="B48" s="82" t="s">
        <v>153</v>
      </c>
      <c r="F48" s="18">
        <v>2025</v>
      </c>
      <c r="G48" s="41">
        <f>J47</f>
        <v>7919.51</v>
      </c>
      <c r="H48" s="38">
        <v>12</v>
      </c>
      <c r="I48" s="41">
        <f>ROUND(H48*$I$44,2)</f>
        <v>2715.24</v>
      </c>
      <c r="J48" s="41">
        <f>G48-I48</f>
        <v>5204.2700000000004</v>
      </c>
      <c r="M48" s="64">
        <v>6</v>
      </c>
      <c r="O48" s="42">
        <f t="shared" ref="O48:O50" si="5">TRUNC(N48/$K$44,4)</f>
        <v>0</v>
      </c>
      <c r="P48" s="41">
        <f>ROUND(I48*O48,0)</f>
        <v>0</v>
      </c>
    </row>
    <row r="49" spans="1:16" x14ac:dyDescent="0.2">
      <c r="F49" s="18">
        <v>2026</v>
      </c>
      <c r="G49" s="41">
        <f>J48</f>
        <v>5204.2700000000004</v>
      </c>
      <c r="H49" s="38">
        <v>12</v>
      </c>
      <c r="I49" s="41">
        <f>ROUND(H49*$I$44,2)</f>
        <v>2715.24</v>
      </c>
      <c r="J49" s="41">
        <f>G49-I49</f>
        <v>2489.0300000000007</v>
      </c>
      <c r="M49" s="64">
        <v>6</v>
      </c>
      <c r="O49" s="42">
        <f t="shared" si="5"/>
        <v>0</v>
      </c>
      <c r="P49" s="41">
        <f>ROUND(I49*O49,0)</f>
        <v>0</v>
      </c>
    </row>
    <row r="50" spans="1:16" x14ac:dyDescent="0.2">
      <c r="F50" s="18">
        <v>2027</v>
      </c>
      <c r="G50" s="41">
        <f>J49</f>
        <v>2489.0300000000007</v>
      </c>
      <c r="H50" s="38">
        <v>11</v>
      </c>
      <c r="I50" s="41">
        <f>ROUND(H50*$I$44,2)+0.06</f>
        <v>2489.0299999999997</v>
      </c>
      <c r="J50" s="41">
        <f>G50-I50</f>
        <v>0</v>
      </c>
      <c r="M50" s="64">
        <v>5</v>
      </c>
      <c r="O50" s="42">
        <f t="shared" si="5"/>
        <v>0</v>
      </c>
      <c r="P50" s="41">
        <f>ROUND(I50*O50,0)</f>
        <v>0</v>
      </c>
    </row>
    <row r="51" spans="1:16" ht="13.5" thickBot="1" x14ac:dyDescent="0.25">
      <c r="A51" s="66"/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7"/>
      <c r="N51" s="66"/>
      <c r="O51" s="66"/>
      <c r="P51" s="66"/>
    </row>
    <row r="53" spans="1:16" x14ac:dyDescent="0.2">
      <c r="A53" s="18" t="s">
        <v>119</v>
      </c>
      <c r="B53" s="18" t="s">
        <v>70</v>
      </c>
      <c r="C53" s="18" t="s">
        <v>120</v>
      </c>
      <c r="D53" s="18" t="s">
        <v>143</v>
      </c>
      <c r="E53" s="63" t="s">
        <v>71</v>
      </c>
      <c r="F53" s="63" t="s">
        <v>72</v>
      </c>
      <c r="G53" s="18" t="s">
        <v>112</v>
      </c>
      <c r="H53" s="18" t="s">
        <v>77</v>
      </c>
      <c r="I53" s="18" t="s">
        <v>73</v>
      </c>
      <c r="K53" s="18" t="s">
        <v>78</v>
      </c>
      <c r="L53" s="18"/>
      <c r="M53" s="63" t="s">
        <v>110</v>
      </c>
    </row>
    <row r="54" spans="1:16" x14ac:dyDescent="0.2">
      <c r="B54" s="89" t="s">
        <v>139</v>
      </c>
      <c r="C54" s="38" t="s">
        <v>108</v>
      </c>
      <c r="D54" s="87" t="s">
        <v>149</v>
      </c>
      <c r="E54" s="41">
        <v>4352.59</v>
      </c>
      <c r="F54" s="43">
        <v>45616</v>
      </c>
      <c r="G54" s="40">
        <v>0.3</v>
      </c>
      <c r="H54" s="41">
        <f>ROUND(E54*G54,2)</f>
        <v>1305.78</v>
      </c>
      <c r="I54" s="41">
        <f>ROUND(H54/12,2)</f>
        <v>108.82</v>
      </c>
      <c r="K54" s="38">
        <v>137.94900000000001</v>
      </c>
      <c r="M54" s="64">
        <f>1/(1*G54/12)</f>
        <v>40</v>
      </c>
    </row>
    <row r="55" spans="1:16" x14ac:dyDescent="0.2">
      <c r="A55" s="83" t="s">
        <v>141</v>
      </c>
      <c r="B55" s="82" t="s">
        <v>140</v>
      </c>
    </row>
    <row r="56" spans="1:16" ht="33.75" x14ac:dyDescent="0.2">
      <c r="A56" s="84" t="s">
        <v>142</v>
      </c>
      <c r="B56" s="91" t="s">
        <v>170</v>
      </c>
      <c r="G56" s="68" t="s">
        <v>75</v>
      </c>
      <c r="H56" s="68" t="s">
        <v>115</v>
      </c>
      <c r="I56" s="68" t="s">
        <v>114</v>
      </c>
      <c r="J56" s="68" t="s">
        <v>116</v>
      </c>
      <c r="K56" s="3"/>
      <c r="L56" s="3"/>
      <c r="M56" s="65" t="s">
        <v>111</v>
      </c>
      <c r="N56" s="65" t="s">
        <v>117</v>
      </c>
      <c r="O56" s="69" t="s">
        <v>8</v>
      </c>
      <c r="P56" s="69" t="s">
        <v>118</v>
      </c>
    </row>
    <row r="57" spans="1:16" x14ac:dyDescent="0.2">
      <c r="A57" s="83" t="s">
        <v>160</v>
      </c>
      <c r="B57" s="82" t="s">
        <v>167</v>
      </c>
      <c r="F57" s="18">
        <v>2024</v>
      </c>
      <c r="G57" s="41">
        <f>E54</f>
        <v>4352.59</v>
      </c>
      <c r="H57" s="38">
        <v>1</v>
      </c>
      <c r="I57" s="41">
        <f>ROUND(H57*$I$54,2)</f>
        <v>108.82</v>
      </c>
      <c r="J57" s="41">
        <f>G57-I57</f>
        <v>4243.7700000000004</v>
      </c>
      <c r="M57" s="64">
        <v>12</v>
      </c>
      <c r="N57" s="38">
        <v>137.94900000000001</v>
      </c>
      <c r="O57" s="42">
        <f>TRUNC(N57/$K$54,4)</f>
        <v>1</v>
      </c>
      <c r="P57" s="41">
        <f>ROUND(I57*O57,0)</f>
        <v>109</v>
      </c>
    </row>
    <row r="58" spans="1:16" x14ac:dyDescent="0.2">
      <c r="A58" s="83" t="s">
        <v>152</v>
      </c>
      <c r="B58" s="82" t="s">
        <v>153</v>
      </c>
      <c r="F58" s="18">
        <v>2025</v>
      </c>
      <c r="G58" s="41">
        <f>J57</f>
        <v>4243.7700000000004</v>
      </c>
      <c r="H58" s="38">
        <v>12</v>
      </c>
      <c r="I58" s="41">
        <f>ROUND(H58*$I$54,2)</f>
        <v>1305.8399999999999</v>
      </c>
      <c r="J58" s="41">
        <f>G58-I58</f>
        <v>2937.9300000000003</v>
      </c>
      <c r="M58" s="64">
        <v>6</v>
      </c>
      <c r="O58" s="42">
        <f t="shared" ref="O58:O60" si="6">TRUNC(N58/$K$54,4)</f>
        <v>0</v>
      </c>
      <c r="P58" s="41">
        <f>ROUND(I58*O58,0)</f>
        <v>0</v>
      </c>
    </row>
    <row r="59" spans="1:16" x14ac:dyDescent="0.2">
      <c r="F59" s="18">
        <v>2026</v>
      </c>
      <c r="G59" s="41">
        <f>J58</f>
        <v>2937.9300000000003</v>
      </c>
      <c r="H59" s="38">
        <v>12</v>
      </c>
      <c r="I59" s="41">
        <f>ROUND(H59*$I$54,2)</f>
        <v>1305.8399999999999</v>
      </c>
      <c r="J59" s="41">
        <f>G59-I59</f>
        <v>1632.0900000000004</v>
      </c>
      <c r="M59" s="64">
        <v>6</v>
      </c>
      <c r="O59" s="42">
        <f t="shared" si="6"/>
        <v>0</v>
      </c>
      <c r="P59" s="41">
        <f>ROUND(I59*O59,0)</f>
        <v>0</v>
      </c>
    </row>
    <row r="60" spans="1:16" x14ac:dyDescent="0.2">
      <c r="F60" s="18">
        <v>2027</v>
      </c>
      <c r="G60" s="41">
        <f>J59</f>
        <v>1632.0900000000004</v>
      </c>
      <c r="H60" s="38">
        <v>12</v>
      </c>
      <c r="I60" s="41">
        <f>ROUND(H60*$I$54,2)</f>
        <v>1305.8399999999999</v>
      </c>
      <c r="J60" s="41">
        <f>G60-I60</f>
        <v>326.25000000000045</v>
      </c>
      <c r="M60" s="64">
        <v>6</v>
      </c>
      <c r="O60" s="42">
        <f t="shared" si="6"/>
        <v>0</v>
      </c>
      <c r="P60" s="41">
        <f>ROUND(I60*O60,0)</f>
        <v>0</v>
      </c>
    </row>
    <row r="61" spans="1:16" x14ac:dyDescent="0.2">
      <c r="F61" s="18">
        <v>2028</v>
      </c>
      <c r="G61" s="41">
        <f>J60</f>
        <v>326.25000000000045</v>
      </c>
      <c r="H61" s="38">
        <v>3</v>
      </c>
      <c r="I61" s="41">
        <f>ROUND(H61*$I$54,2)-0.21</f>
        <v>326.25</v>
      </c>
      <c r="J61" s="41">
        <f>G61-I61</f>
        <v>4.5474735088646412E-13</v>
      </c>
      <c r="M61" s="64">
        <v>1</v>
      </c>
      <c r="O61" s="42">
        <f>TRUNC(N61/$K$54,4)</f>
        <v>0</v>
      </c>
      <c r="P61" s="41">
        <f>ROUND(I61*O61,0)</f>
        <v>0</v>
      </c>
    </row>
    <row r="62" spans="1:16" ht="13.5" thickBot="1" x14ac:dyDescent="0.25">
      <c r="A62" s="66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7"/>
      <c r="N62" s="66"/>
      <c r="O62" s="66"/>
      <c r="P62" s="66"/>
    </row>
    <row r="64" spans="1:16" x14ac:dyDescent="0.2">
      <c r="A64" s="18" t="s">
        <v>119</v>
      </c>
      <c r="B64" s="18" t="s">
        <v>70</v>
      </c>
      <c r="C64" s="18" t="s">
        <v>120</v>
      </c>
      <c r="D64" s="18" t="s">
        <v>143</v>
      </c>
      <c r="E64" s="63" t="s">
        <v>71</v>
      </c>
      <c r="F64" s="63" t="s">
        <v>72</v>
      </c>
      <c r="G64" s="18" t="s">
        <v>112</v>
      </c>
      <c r="H64" s="18" t="s">
        <v>77</v>
      </c>
      <c r="I64" s="18" t="s">
        <v>73</v>
      </c>
      <c r="K64" s="18" t="s">
        <v>78</v>
      </c>
      <c r="L64" s="18"/>
      <c r="M64" s="63" t="s">
        <v>110</v>
      </c>
    </row>
    <row r="65" spans="1:16" x14ac:dyDescent="0.2">
      <c r="B65" s="89" t="s">
        <v>139</v>
      </c>
      <c r="C65" s="38" t="s">
        <v>108</v>
      </c>
      <c r="D65" s="87" t="s">
        <v>151</v>
      </c>
      <c r="E65" s="41">
        <v>4352.59</v>
      </c>
      <c r="F65" s="43">
        <v>45616</v>
      </c>
      <c r="G65" s="40">
        <v>0.3</v>
      </c>
      <c r="H65" s="41">
        <f>ROUND(E65*G65,2)</f>
        <v>1305.78</v>
      </c>
      <c r="I65" s="41">
        <f>ROUND(H65/12,2)</f>
        <v>108.82</v>
      </c>
      <c r="K65" s="38">
        <v>137.94900000000001</v>
      </c>
      <c r="M65" s="64">
        <f>1/(1*G65/12)</f>
        <v>40</v>
      </c>
    </row>
    <row r="66" spans="1:16" x14ac:dyDescent="0.2">
      <c r="A66" s="83" t="s">
        <v>141</v>
      </c>
      <c r="B66" s="90" t="s">
        <v>168</v>
      </c>
    </row>
    <row r="67" spans="1:16" ht="33.75" x14ac:dyDescent="0.2">
      <c r="A67" s="84" t="s">
        <v>142</v>
      </c>
      <c r="B67" s="85" t="s">
        <v>169</v>
      </c>
      <c r="G67" s="68" t="s">
        <v>75</v>
      </c>
      <c r="H67" s="68" t="s">
        <v>115</v>
      </c>
      <c r="I67" s="68" t="s">
        <v>114</v>
      </c>
      <c r="J67" s="68" t="s">
        <v>116</v>
      </c>
      <c r="K67" s="3"/>
      <c r="L67" s="3"/>
      <c r="M67" s="65" t="s">
        <v>111</v>
      </c>
      <c r="N67" s="65" t="s">
        <v>117</v>
      </c>
      <c r="O67" s="69" t="s">
        <v>8</v>
      </c>
      <c r="P67" s="69" t="s">
        <v>118</v>
      </c>
    </row>
    <row r="68" spans="1:16" x14ac:dyDescent="0.2">
      <c r="A68" s="83" t="s">
        <v>160</v>
      </c>
      <c r="B68" s="82" t="s">
        <v>167</v>
      </c>
      <c r="F68" s="18">
        <v>2024</v>
      </c>
      <c r="G68" s="41">
        <f>E65</f>
        <v>4352.59</v>
      </c>
      <c r="H68" s="38">
        <v>1</v>
      </c>
      <c r="I68" s="41">
        <f>ROUND(H68*$I$65,2)</f>
        <v>108.82</v>
      </c>
      <c r="J68" s="41">
        <f>G68-I68</f>
        <v>4243.7700000000004</v>
      </c>
      <c r="M68" s="64">
        <v>12</v>
      </c>
      <c r="N68" s="38">
        <v>137.94900000000001</v>
      </c>
      <c r="O68" s="42">
        <f>TRUNC(N68/$K$65,4)</f>
        <v>1</v>
      </c>
      <c r="P68" s="41">
        <f>ROUND(I68*O68,0)</f>
        <v>109</v>
      </c>
    </row>
    <row r="69" spans="1:16" x14ac:dyDescent="0.2">
      <c r="A69" s="83" t="s">
        <v>152</v>
      </c>
      <c r="B69" s="82" t="s">
        <v>154</v>
      </c>
      <c r="F69" s="18">
        <v>2025</v>
      </c>
      <c r="G69" s="41">
        <f>J68</f>
        <v>4243.7700000000004</v>
      </c>
      <c r="H69" s="38">
        <v>12</v>
      </c>
      <c r="I69" s="41">
        <f>ROUND(H69*$I$65,2)</f>
        <v>1305.8399999999999</v>
      </c>
      <c r="J69" s="41">
        <f>G69-I69</f>
        <v>2937.9300000000003</v>
      </c>
      <c r="M69" s="64">
        <v>6</v>
      </c>
      <c r="O69" s="42">
        <f>TRUNC(N69/$K$65,4)</f>
        <v>0</v>
      </c>
      <c r="P69" s="41">
        <f>ROUND(I69*O69,0)</f>
        <v>0</v>
      </c>
    </row>
    <row r="70" spans="1:16" x14ac:dyDescent="0.2">
      <c r="F70" s="18">
        <v>2026</v>
      </c>
      <c r="G70" s="41">
        <f>J69</f>
        <v>2937.9300000000003</v>
      </c>
      <c r="H70" s="38">
        <v>12</v>
      </c>
      <c r="I70" s="41">
        <f>ROUND(H70*$I$65,2)</f>
        <v>1305.8399999999999</v>
      </c>
      <c r="J70" s="41">
        <f>G70-I70</f>
        <v>1632.0900000000004</v>
      </c>
      <c r="M70" s="64">
        <v>6</v>
      </c>
      <c r="O70" s="42">
        <f>TRUNC(N70/$K$65,4)</f>
        <v>0</v>
      </c>
      <c r="P70" s="41">
        <f>ROUND(I70*O70,0)</f>
        <v>0</v>
      </c>
    </row>
    <row r="71" spans="1:16" x14ac:dyDescent="0.2">
      <c r="F71" s="18">
        <v>2027</v>
      </c>
      <c r="G71" s="41">
        <f>J70</f>
        <v>1632.0900000000004</v>
      </c>
      <c r="H71" s="38">
        <v>12</v>
      </c>
      <c r="I71" s="41">
        <f>ROUND(H71*$I$65,2)</f>
        <v>1305.8399999999999</v>
      </c>
      <c r="J71" s="41">
        <f>G71-I71</f>
        <v>326.25000000000045</v>
      </c>
      <c r="M71" s="64">
        <v>6</v>
      </c>
      <c r="O71" s="42">
        <f>TRUNC(N71/$K$65,4)</f>
        <v>0</v>
      </c>
      <c r="P71" s="41">
        <f>ROUND(I71*O71,0)</f>
        <v>0</v>
      </c>
    </row>
    <row r="72" spans="1:16" x14ac:dyDescent="0.2">
      <c r="F72" s="18">
        <v>2028</v>
      </c>
      <c r="G72" s="41">
        <f>J71</f>
        <v>326.25000000000045</v>
      </c>
      <c r="H72" s="38">
        <v>3</v>
      </c>
      <c r="I72" s="41">
        <f>ROUND(H72*$I$65,2)-0.21</f>
        <v>326.25</v>
      </c>
      <c r="J72" s="41">
        <f>G72-I72</f>
        <v>4.5474735088646412E-13</v>
      </c>
      <c r="M72" s="64">
        <v>1</v>
      </c>
      <c r="O72" s="42">
        <f>TRUNC(N72/$K$65,4)</f>
        <v>0</v>
      </c>
      <c r="P72" s="41">
        <f>ROUND(I72*O72,0)</f>
        <v>0</v>
      </c>
    </row>
    <row r="73" spans="1:16" ht="13.5" thickBot="1" x14ac:dyDescent="0.25">
      <c r="A73" s="66"/>
      <c r="B73" s="66"/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7"/>
      <c r="N73" s="66"/>
      <c r="O73" s="66"/>
      <c r="P73" s="66"/>
    </row>
  </sheetData>
  <dataValidations disablePrompts="1" count="1">
    <dataValidation type="list" allowBlank="1" showInputMessage="1" showErrorMessage="1" sqref="C24 C34 C44 C54 C65 C14 C3" xr:uid="{74B25EF3-6366-4678-826A-ABB4DCA0DFCA}">
      <formula1>"Edificios y contrucciones,Mobiliario y equipo de oficina,Equipo de transporte,Equipo de cómputo,Herramientas y troqueles,Bicicletas eléctricas,Otra maquinaria y equipo"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Saldo CUCA</vt:lpstr>
      <vt:lpstr>ActualizacionCUCA</vt:lpstr>
      <vt:lpstr>Saldo CUFIN</vt:lpstr>
      <vt:lpstr>Saldo Perdidas</vt:lpstr>
      <vt:lpstr>Perdidas</vt:lpstr>
      <vt:lpstr>IVA a favor</vt:lpstr>
      <vt:lpstr>Depreciaciones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ANTONIO CENOBIO RAMIREZ</dc:creator>
  <cp:lastModifiedBy>JOSE ANTONIO CENOBIO RAMIREZ</cp:lastModifiedBy>
  <dcterms:created xsi:type="dcterms:W3CDTF">2024-04-14T06:56:18Z</dcterms:created>
  <dcterms:modified xsi:type="dcterms:W3CDTF">2025-02-21T06:21:03Z</dcterms:modified>
</cp:coreProperties>
</file>