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25d882f07a18707/Documentos/HP NUEVA JULIO 2020/ESCUELA/PENSIONES Y JUBILACIONES IMSS/"/>
    </mc:Choice>
  </mc:AlternateContent>
  <xr:revisionPtr revIDLastSave="56" documentId="8_{3FA72442-83E8-4F6F-BCC0-7DC35D777955}" xr6:coauthVersionLast="47" xr6:coauthVersionMax="47" xr10:uidLastSave="{48D070C0-1453-4CC6-A364-F68BA5559C42}"/>
  <bookViews>
    <workbookView xWindow="-120" yWindow="-120" windowWidth="20730" windowHeight="11760" xr2:uid="{00000000-000D-0000-FFFF-FFFF00000000}"/>
  </bookViews>
  <sheets>
    <sheet name="Calcula Pensión" sheetId="9" r:id="rId1"/>
    <sheet name="Tablas" sheetId="3" r:id="rId2"/>
    <sheet name="Modalidad 40" sheetId="10" r:id="rId3"/>
    <sheet name="Años Ant" sheetId="11" r:id="rId4"/>
    <sheet name="Parametros" sheetId="12" state="hidden" r:id="rId5"/>
  </sheets>
  <definedNames>
    <definedName name="NoPadres">Parametros!$F$1:$F$3</definedName>
    <definedName name="Respuesta">Parametros!$D$2:$D$3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0" i="9" l="1"/>
  <c r="C44" i="9"/>
  <c r="C1" i="11"/>
  <c r="C3" i="11" s="1"/>
  <c r="C9" i="11" s="1"/>
  <c r="C16" i="9"/>
  <c r="C3" i="10"/>
  <c r="C5" i="10" s="1"/>
  <c r="C7" i="10" s="1"/>
  <c r="C69" i="9"/>
  <c r="C23" i="9"/>
  <c r="C12" i="9"/>
  <c r="C17" i="9" s="1"/>
  <c r="C18" i="9" s="1"/>
  <c r="C20" i="9" s="1"/>
  <c r="C9" i="10" l="1"/>
  <c r="C11" i="10"/>
  <c r="C13" i="10" s="1"/>
  <c r="C15" i="10" s="1"/>
  <c r="C24" i="9"/>
  <c r="C25" i="9" s="1"/>
  <c r="C27" i="9" s="1"/>
  <c r="C32" i="9"/>
  <c r="D20" i="9"/>
  <c r="C5" i="11"/>
  <c r="C14" i="11" l="1"/>
  <c r="C7" i="11"/>
  <c r="C10" i="11" s="1"/>
  <c r="C11" i="11" s="1"/>
  <c r="C12" i="11" s="1"/>
  <c r="C15" i="11" s="1"/>
  <c r="C16" i="11" l="1"/>
  <c r="C28" i="9" s="1"/>
  <c r="C29" i="9" s="1"/>
  <c r="D29" i="9" l="1"/>
  <c r="C33" i="9"/>
  <c r="C34" i="9" s="1"/>
  <c r="C37" i="9" l="1"/>
  <c r="C39" i="9" s="1"/>
  <c r="D34" i="9"/>
  <c r="C42" i="9"/>
  <c r="C45" i="9" s="1"/>
  <c r="D45" i="9" s="1"/>
  <c r="C54" i="9"/>
  <c r="C56" i="9" s="1"/>
  <c r="D56" i="9" s="1"/>
  <c r="C60" i="9"/>
  <c r="C48" i="9"/>
  <c r="C51" i="9" s="1"/>
  <c r="D51" i="9" s="1"/>
  <c r="C59" i="9" l="1"/>
  <c r="D39" i="9"/>
  <c r="D59" i="9" l="1"/>
  <c r="C61" i="9"/>
  <c r="D61" i="9" l="1"/>
  <c r="C64" i="9"/>
  <c r="D64" i="9" l="1"/>
  <c r="C66" i="9"/>
  <c r="D66" i="9" l="1"/>
  <c r="C70" i="9"/>
  <c r="C71" i="9" s="1"/>
  <c r="D71" i="9" s="1"/>
</calcChain>
</file>

<file path=xl/sharedStrings.xml><?xml version="1.0" encoding="utf-8"?>
<sst xmlns="http://schemas.openxmlformats.org/spreadsheetml/2006/main" count="113" uniqueCount="102">
  <si>
    <t>VSM</t>
  </si>
  <si>
    <t>Cuantía Básica</t>
  </si>
  <si>
    <t>Incremento Anual</t>
  </si>
  <si>
    <t>De:</t>
  </si>
  <si>
    <t>A:</t>
  </si>
  <si>
    <t>A partir del 01-05 - 2004, el Articulo Décimo cuarto transitorio inciso ( b ),  de la Ley del imss, otorgo el 11% de incremento al total de la cuantía básica y al incremento anual</t>
  </si>
  <si>
    <t>%</t>
  </si>
  <si>
    <t>Años</t>
  </si>
  <si>
    <t>* Importante el derecho se adquiere 6 meses y un día después de cumplir  años</t>
  </si>
  <si>
    <t>Salario Diario Promedio</t>
  </si>
  <si>
    <t>Buscar Sal Diario en Tablas</t>
  </si>
  <si>
    <t>Buscar Edad en Tablas</t>
  </si>
  <si>
    <t>Salario Mínimo DF</t>
  </si>
  <si>
    <t>Salario Diario Promedio en veces salario mínimo (VSM)</t>
  </si>
  <si>
    <t>(X) Cuantía Básica</t>
  </si>
  <si>
    <t>(X) 365</t>
  </si>
  <si>
    <t>(=) Cuantía Diaria</t>
  </si>
  <si>
    <t>Incremento Anual a la Cuantía Básica</t>
  </si>
  <si>
    <t>(X) Incremento Cuantía Básica</t>
  </si>
  <si>
    <t>(=) Incremento Diario</t>
  </si>
  <si>
    <t>(x) Total Años Reconocidos Posteriores a 500 Sems</t>
  </si>
  <si>
    <t>Semanas Cotizadas</t>
  </si>
  <si>
    <t>(-) 500 Semanas</t>
  </si>
  <si>
    <t>(=) Semanas Reconocidos Posteriores a 500 Sems</t>
  </si>
  <si>
    <t xml:space="preserve">(/) 52 </t>
  </si>
  <si>
    <t>(=) Años Completos Reconocidos Posteriores a 500 Sems</t>
  </si>
  <si>
    <t>(=) Incremento Anual previo</t>
  </si>
  <si>
    <t>(=) Incremento Anual a la Cuantía Básica</t>
  </si>
  <si>
    <t>(=) Cuantía Básica  Anual</t>
  </si>
  <si>
    <t>Cuantía Básica  Anual</t>
  </si>
  <si>
    <t>(+) Incremento Anual a la Cuantía Básica</t>
  </si>
  <si>
    <t>Semanas</t>
  </si>
  <si>
    <t>% Incr Anual</t>
  </si>
  <si>
    <t>Semanas Reconocidos Posteriores a 500 Sems</t>
  </si>
  <si>
    <t>(=) Semanas Completas Reconocidos Posteriores a 500 Sems</t>
  </si>
  <si>
    <t>(*) 52</t>
  </si>
  <si>
    <t>(-)  Semanas Completas Reconocidos Posteriores a 500 Sems</t>
  </si>
  <si>
    <t>Años Residuo</t>
  </si>
  <si>
    <t>(=) Semanas Residuo</t>
  </si>
  <si>
    <t>Buscar en Tablas</t>
  </si>
  <si>
    <t>Años Completos Reconocidos Posteriores a 500 Sems</t>
  </si>
  <si>
    <t>(+) Años Residuo</t>
  </si>
  <si>
    <t>(=) Total Años Reconocidos Posteriores a 500 Sems</t>
  </si>
  <si>
    <t>(*) Incremento 11% Artículo Décimo</t>
  </si>
  <si>
    <t>(=) Pensión Anual x Vejez</t>
  </si>
  <si>
    <t>Esposa</t>
  </si>
  <si>
    <t>Hijos 16 a 25 años si estudian</t>
  </si>
  <si>
    <t>10% x c/u</t>
  </si>
  <si>
    <t>Acendientes sólo a falta de esposa e hijos</t>
  </si>
  <si>
    <t>Ayuda asistencial x Soledad</t>
  </si>
  <si>
    <t>Edad Jubilación</t>
  </si>
  <si>
    <t>(X) 25 Veces</t>
  </si>
  <si>
    <t>(X) 30 Días</t>
  </si>
  <si>
    <t>(X) % Cuota Obrero Patronal</t>
  </si>
  <si>
    <t>(=) Salario Mes</t>
  </si>
  <si>
    <t>(=) Tope Salario Mínimo Diario</t>
  </si>
  <si>
    <t>(X) % Que se va al Afore</t>
  </si>
  <si>
    <t>(=) Cantidad que se va al Afore</t>
  </si>
  <si>
    <t>(=) Aportación Mensual Modalidad 40</t>
  </si>
  <si>
    <t>Aportación Mensual Modalidad 40</t>
  </si>
  <si>
    <t>(X) 12</t>
  </si>
  <si>
    <t>(=) Aportación Anual Modalidad 40</t>
  </si>
  <si>
    <t>(X) No Años Modalidad 40</t>
  </si>
  <si>
    <t>Anual</t>
  </si>
  <si>
    <t>Mes</t>
  </si>
  <si>
    <t>(=) Aportación Período Modalidad 40</t>
  </si>
  <si>
    <t>No. Semanas Cotizadas</t>
  </si>
  <si>
    <t>Salario Diario Promedio (últimas 250 Semanas)</t>
  </si>
  <si>
    <t>PENSIONES DE VEJEZ Y CESANTIA EN</t>
  </si>
  <si>
    <t>EDAD AVANZADA LEY '73</t>
  </si>
  <si>
    <t xml:space="preserve">Esposa </t>
  </si>
  <si>
    <t>Si</t>
  </si>
  <si>
    <t>No</t>
  </si>
  <si>
    <t>Hijos Menores o Estudiando (capturar Número)</t>
  </si>
  <si>
    <t>Padres (sólo a falta de viuda y huerfanos)</t>
  </si>
  <si>
    <t xml:space="preserve">      Capturar Datos</t>
  </si>
  <si>
    <t>Cuantía Anual de la Pensión</t>
  </si>
  <si>
    <t>(=) Cuantía Anual de la Pensión</t>
  </si>
  <si>
    <t>Ayuda Asignación Esposa</t>
  </si>
  <si>
    <t>(X) 15%  si existe la Viuda</t>
  </si>
  <si>
    <t>Ayuda Hijos Menores o Estudiando</t>
  </si>
  <si>
    <t xml:space="preserve">(X) 10%  </t>
  </si>
  <si>
    <t>(X) No Hijos menores o estudiando</t>
  </si>
  <si>
    <t>(X) No Padres</t>
  </si>
  <si>
    <t>Ayuda x Soledad</t>
  </si>
  <si>
    <t xml:space="preserve">(X) 20%  </t>
  </si>
  <si>
    <t xml:space="preserve">(X) 15%  </t>
  </si>
  <si>
    <t>Total Ayudas</t>
  </si>
  <si>
    <t>Cuantía Anual de la Pensión + Ayudas</t>
  </si>
  <si>
    <t>(+) Cuantía Anual de la Pensión</t>
  </si>
  <si>
    <t>(=) Cuantía Anual de la Pensión + Ayudas</t>
  </si>
  <si>
    <t>Pensión Anual x Vejez</t>
  </si>
  <si>
    <t>Pensión Anual x Cesantía en Edad Avanzada</t>
  </si>
  <si>
    <t>(=) Pensión Anual x Cesantía en Edad Avanzada</t>
  </si>
  <si>
    <t>Porcentaje de pensión x Edad Trabajador</t>
  </si>
  <si>
    <t>(X) Pensión Anual x Vejez</t>
  </si>
  <si>
    <t>Ayuda Padres</t>
  </si>
  <si>
    <t>(=) Ayuda Anual Asignación Esposa</t>
  </si>
  <si>
    <t>(=)  Ayuda Anual Hijos Menores o Estudiando</t>
  </si>
  <si>
    <t>(=) Ayuda Anual Padres</t>
  </si>
  <si>
    <t>(=) Ayuda Anual x Soledad</t>
  </si>
  <si>
    <t>UMAS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</si>
</sst>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0.0000%"/>
    <numFmt numFmtId="165" formatCode="#,##0.0"/>
  </numFmts>
  <fonts count="18" x14ac:knownFonts="1">
    <font>
      <sz val="11"/>
      <color theme="1"/>
      <name val="Calibri"/>
      <family val="2"/>
      <scheme val="minor"/>
    </font>
    <font>
      <b/>
      <sz val="18"/>
      <color indexed="1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0"/>
      <color rgb="FF0000CC"/>
      <name val="Calibri"/>
      <family val="2"/>
      <scheme val="minor"/>
    </font>
    <font>
      <b/>
      <sz val="16"/>
      <color rgb="FF0000CC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hair">
        <color theme="0" tint="-0.34998626667073579"/>
      </left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/>
      <diagonal/>
    </border>
    <border>
      <left/>
      <right/>
      <top/>
      <bottom style="hair">
        <color theme="0" tint="-0.2499465926084170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55">
    <xf numFmtId="0" fontId="0" fillId="0" borderId="0" xfId="0"/>
    <xf numFmtId="0" fontId="7" fillId="0" borderId="0" xfId="0" applyFont="1"/>
    <xf numFmtId="0" fontId="7" fillId="0" borderId="1" xfId="0" applyFont="1" applyBorder="1"/>
    <xf numFmtId="0" fontId="8" fillId="2" borderId="1" xfId="0" applyFont="1" applyFill="1" applyBorder="1" applyAlignment="1">
      <alignment horizontal="center" vertical="justify"/>
    </xf>
    <xf numFmtId="10" fontId="9" fillId="0" borderId="1" xfId="0" applyNumberFormat="1" applyFont="1" applyBorder="1" applyAlignment="1">
      <alignment horizontal="center"/>
    </xf>
    <xf numFmtId="44" fontId="9" fillId="0" borderId="1" xfId="0" applyNumberFormat="1" applyFont="1" applyBorder="1" applyAlignment="1">
      <alignment horizontal="center"/>
    </xf>
    <xf numFmtId="44" fontId="9" fillId="0" borderId="1" xfId="0" applyNumberFormat="1" applyFont="1" applyBorder="1" applyAlignment="1">
      <alignment horizontal="right"/>
    </xf>
    <xf numFmtId="0" fontId="10" fillId="0" borderId="0" xfId="0" applyFont="1" applyAlignment="1">
      <alignment horizontal="left"/>
    </xf>
    <xf numFmtId="9" fontId="7" fillId="0" borderId="1" xfId="0" applyNumberFormat="1" applyFont="1" applyBorder="1"/>
    <xf numFmtId="9" fontId="7" fillId="0" borderId="0" xfId="0" applyNumberFormat="1" applyFont="1"/>
    <xf numFmtId="44" fontId="0" fillId="0" borderId="0" xfId="0" applyNumberFormat="1"/>
    <xf numFmtId="3" fontId="0" fillId="0" borderId="0" xfId="0" applyNumberFormat="1"/>
    <xf numFmtId="0" fontId="11" fillId="0" borderId="0" xfId="0" applyFont="1"/>
    <xf numFmtId="0" fontId="0" fillId="0" borderId="2" xfId="0" applyBorder="1"/>
    <xf numFmtId="3" fontId="0" fillId="0" borderId="2" xfId="0" applyNumberFormat="1" applyBorder="1"/>
    <xf numFmtId="165" fontId="0" fillId="0" borderId="2" xfId="0" applyNumberFormat="1" applyBorder="1"/>
    <xf numFmtId="44" fontId="0" fillId="0" borderId="2" xfId="0" applyNumberFormat="1" applyBorder="1"/>
    <xf numFmtId="10" fontId="0" fillId="0" borderId="2" xfId="0" applyNumberFormat="1" applyBorder="1"/>
    <xf numFmtId="9" fontId="0" fillId="0" borderId="2" xfId="0" applyNumberFormat="1" applyBorder="1"/>
    <xf numFmtId="0" fontId="10" fillId="0" borderId="0" xfId="0" applyFont="1"/>
    <xf numFmtId="165" fontId="0" fillId="3" borderId="2" xfId="0" applyNumberFormat="1" applyFill="1" applyBorder="1"/>
    <xf numFmtId="4" fontId="0" fillId="3" borderId="2" xfId="0" applyNumberFormat="1" applyFill="1" applyBorder="1"/>
    <xf numFmtId="44" fontId="12" fillId="0" borderId="0" xfId="0" applyNumberFormat="1" applyFont="1"/>
    <xf numFmtId="44" fontId="9" fillId="0" borderId="2" xfId="0" applyNumberFormat="1" applyFont="1" applyBorder="1"/>
    <xf numFmtId="0" fontId="9" fillId="0" borderId="2" xfId="0" applyFont="1" applyBorder="1"/>
    <xf numFmtId="10" fontId="9" fillId="0" borderId="2" xfId="0" applyNumberFormat="1" applyFont="1" applyBorder="1"/>
    <xf numFmtId="164" fontId="9" fillId="0" borderId="2" xfId="0" applyNumberFormat="1" applyFont="1" applyBorder="1"/>
    <xf numFmtId="0" fontId="9" fillId="0" borderId="2" xfId="0" applyFont="1" applyBorder="1" applyAlignment="1">
      <alignment horizontal="left"/>
    </xf>
    <xf numFmtId="44" fontId="9" fillId="4" borderId="2" xfId="0" applyNumberFormat="1" applyFont="1" applyFill="1" applyBorder="1"/>
    <xf numFmtId="0" fontId="5" fillId="5" borderId="2" xfId="0" applyFont="1" applyFill="1" applyBorder="1"/>
    <xf numFmtId="44" fontId="5" fillId="5" borderId="2" xfId="0" applyNumberFormat="1" applyFont="1" applyFill="1" applyBorder="1"/>
    <xf numFmtId="44" fontId="13" fillId="0" borderId="0" xfId="0" applyNumberFormat="1" applyFont="1"/>
    <xf numFmtId="0" fontId="1" fillId="0" borderId="0" xfId="0" applyFont="1" applyAlignment="1">
      <alignment shrinkToFit="1"/>
    </xf>
    <xf numFmtId="0" fontId="1" fillId="0" borderId="0" xfId="0" applyFont="1"/>
    <xf numFmtId="44" fontId="14" fillId="0" borderId="0" xfId="0" applyNumberFormat="1" applyFont="1"/>
    <xf numFmtId="2" fontId="0" fillId="0" borderId="0" xfId="0" applyNumberFormat="1"/>
    <xf numFmtId="2" fontId="2" fillId="0" borderId="0" xfId="0" applyNumberFormat="1" applyFont="1"/>
    <xf numFmtId="10" fontId="2" fillId="0" borderId="0" xfId="0" applyNumberFormat="1" applyFont="1"/>
    <xf numFmtId="10" fontId="7" fillId="0" borderId="0" xfId="0" applyNumberFormat="1" applyFont="1"/>
    <xf numFmtId="0" fontId="15" fillId="0" borderId="0" xfId="0" applyFont="1"/>
    <xf numFmtId="0" fontId="15" fillId="0" borderId="2" xfId="0" applyFont="1" applyBorder="1"/>
    <xf numFmtId="44" fontId="15" fillId="0" borderId="2" xfId="0" applyNumberFormat="1" applyFont="1" applyBorder="1"/>
    <xf numFmtId="0" fontId="0" fillId="0" borderId="3" xfId="0" applyBorder="1"/>
    <xf numFmtId="44" fontId="0" fillId="0" borderId="3" xfId="0" applyNumberFormat="1" applyBorder="1"/>
    <xf numFmtId="44" fontId="6" fillId="6" borderId="2" xfId="0" applyNumberFormat="1" applyFont="1" applyFill="1" applyBorder="1"/>
    <xf numFmtId="0" fontId="15" fillId="0" borderId="4" xfId="0" applyFont="1" applyBorder="1"/>
    <xf numFmtId="44" fontId="0" fillId="0" borderId="4" xfId="0" applyNumberFormat="1" applyBorder="1"/>
    <xf numFmtId="44" fontId="16" fillId="0" borderId="2" xfId="0" applyNumberFormat="1" applyFont="1" applyBorder="1"/>
    <xf numFmtId="0" fontId="4" fillId="7" borderId="2" xfId="0" applyFont="1" applyFill="1" applyBorder="1" applyAlignment="1">
      <alignment horizontal="center"/>
    </xf>
    <xf numFmtId="44" fontId="6" fillId="6" borderId="2" xfId="0" applyNumberFormat="1" applyFont="1" applyFill="1" applyBorder="1" applyAlignment="1">
      <alignment horizontal="center"/>
    </xf>
    <xf numFmtId="3" fontId="6" fillId="6" borderId="2" xfId="0" applyNumberFormat="1" applyFont="1" applyFill="1" applyBorder="1" applyAlignment="1">
      <alignment horizontal="center"/>
    </xf>
    <xf numFmtId="44" fontId="3" fillId="0" borderId="0" xfId="1" applyFont="1"/>
    <xf numFmtId="0" fontId="6" fillId="0" borderId="0" xfId="0" applyFont="1"/>
    <xf numFmtId="0" fontId="17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104775</xdr:colOff>
      <xdr:row>3</xdr:row>
      <xdr:rowOff>9525</xdr:rowOff>
    </xdr:from>
    <xdr:to>
      <xdr:col>3</xdr:col>
      <xdr:colOff>257175</xdr:colOff>
      <xdr:row>7</xdr:row>
      <xdr:rowOff>142875</xdr:rowOff>
    </xdr:to>
    <xdr:sp macro="" textlink="">
      <xdr:nvSpPr>
        <xdr:cNvPr id="1149" name="AutoShape 1">
          <a:extLst>
            <a:ext uri="{FF2B5EF4-FFF2-40B4-BE49-F238E27FC236}">
              <a16:creationId xmlns:a16="http://schemas.microsoft.com/office/drawing/2014/main" id="{077CCCD8-750F-4BCD-A37B-C53B2EA3D6F9}"/>
            </a:ext>
          </a:extLst>
        </xdr:cNvPr>
        <xdr:cNvSpPr>
          <a:spLocks/>
        </xdr:cNvSpPr>
      </xdr:nvSpPr>
      <xdr:spPr bwMode="auto">
        <a:xfrm>
          <a:off x="4724400" y="476250"/>
          <a:ext cx="152400" cy="904875"/>
        </a:xfrm>
        <a:prstGeom prst="rightBrace">
          <a:avLst>
            <a:gd name="adj1" fmla="val 58660"/>
            <a:gd name="adj2" fmla="val 50000"/>
          </a:avLst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G79"/>
  <sheetViews>
    <sheetView showGridLines="0" tabSelected="1" workbookViewId="0">
      <selection activeCell="D66" sqref="D66"/>
    </sheetView>
  </sheetViews>
  <sheetFormatPr baseColWidth="10" defaultColWidth="9.140625" defaultRowHeight="15" outlineLevelRow="1" x14ac:dyDescent="0.25"/>
  <cols>
    <col min="1" max="1" width="5.5703125" customWidth="1"/>
    <col min="2" max="2" width="50.28515625" bestFit="1" customWidth="1"/>
    <col min="3" max="3" width="16.7109375" customWidth="1"/>
    <col min="4" max="4" width="18.85546875" customWidth="1"/>
    <col min="5" max="5" width="16.5703125" customWidth="1"/>
    <col min="6" max="6" width="55" bestFit="1" customWidth="1"/>
    <col min="7" max="7" width="12.5703125" bestFit="1" customWidth="1"/>
    <col min="8" max="256" width="11.42578125" customWidth="1"/>
  </cols>
  <sheetData>
    <row r="1" spans="2:7" ht="17.25" customHeight="1" x14ac:dyDescent="0.35">
      <c r="B1" s="53" t="s">
        <v>68</v>
      </c>
      <c r="C1" s="53"/>
      <c r="D1" s="32"/>
      <c r="E1" s="32"/>
      <c r="F1" s="32"/>
      <c r="G1" s="32"/>
    </row>
    <row r="2" spans="2:7" ht="17.25" customHeight="1" x14ac:dyDescent="0.35">
      <c r="B2" s="53" t="s">
        <v>69</v>
      </c>
      <c r="C2" s="53"/>
      <c r="D2" s="33"/>
      <c r="E2" s="33"/>
      <c r="F2" s="33"/>
      <c r="G2" s="33"/>
    </row>
    <row r="3" spans="2:7" ht="2.25" customHeight="1" x14ac:dyDescent="0.25">
      <c r="D3" s="7"/>
    </row>
    <row r="4" spans="2:7" x14ac:dyDescent="0.25">
      <c r="B4" s="13" t="s">
        <v>66</v>
      </c>
      <c r="C4" s="50">
        <v>2353</v>
      </c>
      <c r="D4" s="19"/>
    </row>
    <row r="5" spans="2:7" x14ac:dyDescent="0.25">
      <c r="B5" s="13" t="s">
        <v>67</v>
      </c>
      <c r="C5" s="44">
        <v>2714</v>
      </c>
      <c r="D5" s="31"/>
      <c r="E5" s="10"/>
    </row>
    <row r="6" spans="2:7" ht="15.75" x14ac:dyDescent="0.25">
      <c r="B6" s="13" t="s">
        <v>70</v>
      </c>
      <c r="C6" s="49" t="s">
        <v>72</v>
      </c>
      <c r="D6" s="34" t="s">
        <v>75</v>
      </c>
    </row>
    <row r="7" spans="2:7" x14ac:dyDescent="0.25">
      <c r="B7" s="13" t="s">
        <v>73</v>
      </c>
      <c r="C7" s="50">
        <v>0</v>
      </c>
      <c r="D7" s="31"/>
      <c r="F7" s="51"/>
    </row>
    <row r="8" spans="2:7" x14ac:dyDescent="0.25">
      <c r="B8" s="13" t="s">
        <v>74</v>
      </c>
      <c r="C8" s="50">
        <v>0</v>
      </c>
      <c r="D8" s="31"/>
    </row>
    <row r="9" spans="2:7" x14ac:dyDescent="0.25">
      <c r="B9" s="13" t="s">
        <v>50</v>
      </c>
      <c r="C9" s="50">
        <v>65</v>
      </c>
      <c r="D9" s="31"/>
    </row>
    <row r="10" spans="2:7" ht="3" customHeight="1" x14ac:dyDescent="0.25"/>
    <row r="11" spans="2:7" x14ac:dyDescent="0.25">
      <c r="B11" s="13" t="s">
        <v>12</v>
      </c>
      <c r="C11" s="16">
        <v>108.57</v>
      </c>
      <c r="D11" s="7">
        <v>2024</v>
      </c>
    </row>
    <row r="12" spans="2:7" x14ac:dyDescent="0.25">
      <c r="B12" s="13" t="s">
        <v>13</v>
      </c>
      <c r="C12" s="16">
        <f>C5/C11</f>
        <v>24.997697338122872</v>
      </c>
    </row>
    <row r="13" spans="2:7" ht="3" customHeight="1" x14ac:dyDescent="0.25"/>
    <row r="14" spans="2:7" ht="13.5" customHeight="1" x14ac:dyDescent="0.25">
      <c r="C14" s="48" t="s">
        <v>63</v>
      </c>
      <c r="D14" s="48" t="s">
        <v>64</v>
      </c>
    </row>
    <row r="15" spans="2:7" hidden="1" outlineLevel="1" x14ac:dyDescent="0.25">
      <c r="B15" s="39" t="s">
        <v>1</v>
      </c>
    </row>
    <row r="16" spans="2:7" hidden="1" outlineLevel="1" x14ac:dyDescent="0.25">
      <c r="B16" s="13" t="s">
        <v>9</v>
      </c>
      <c r="C16" s="16">
        <f>C5</f>
        <v>2714</v>
      </c>
    </row>
    <row r="17" spans="2:4" hidden="1" outlineLevel="1" x14ac:dyDescent="0.25">
      <c r="B17" s="13" t="s">
        <v>14</v>
      </c>
      <c r="C17" s="17">
        <f>VLOOKUP(C12,Tablas!$A$3:$D$24,3)</f>
        <v>0.13</v>
      </c>
      <c r="D17" s="19" t="s">
        <v>10</v>
      </c>
    </row>
    <row r="18" spans="2:4" hidden="1" outlineLevel="1" x14ac:dyDescent="0.25">
      <c r="B18" s="13" t="s">
        <v>16</v>
      </c>
      <c r="C18" s="16">
        <f>C16*C17</f>
        <v>352.82</v>
      </c>
    </row>
    <row r="19" spans="2:4" hidden="1" outlineLevel="1" x14ac:dyDescent="0.25">
      <c r="B19" s="13" t="s">
        <v>15</v>
      </c>
      <c r="C19" s="13">
        <v>365</v>
      </c>
    </row>
    <row r="20" spans="2:4" collapsed="1" x14ac:dyDescent="0.25">
      <c r="B20" s="40" t="s">
        <v>28</v>
      </c>
      <c r="C20" s="41">
        <f>C18*C19</f>
        <v>128779.3</v>
      </c>
      <c r="D20" s="47">
        <f>C20/12</f>
        <v>10731.608333333334</v>
      </c>
    </row>
    <row r="21" spans="2:4" ht="3" customHeight="1" x14ac:dyDescent="0.25"/>
    <row r="22" spans="2:4" hidden="1" outlineLevel="1" x14ac:dyDescent="0.25">
      <c r="B22" s="39" t="s">
        <v>17</v>
      </c>
    </row>
    <row r="23" spans="2:4" hidden="1" outlineLevel="1" x14ac:dyDescent="0.25">
      <c r="B23" s="13" t="s">
        <v>9</v>
      </c>
      <c r="C23" s="16">
        <f>C5</f>
        <v>2714</v>
      </c>
    </row>
    <row r="24" spans="2:4" hidden="1" outlineLevel="1" x14ac:dyDescent="0.25">
      <c r="B24" s="13" t="s">
        <v>18</v>
      </c>
      <c r="C24" s="17">
        <f>VLOOKUP(C12,Tablas!$A$3:$D$24,4)</f>
        <v>2.4500000000000001E-2</v>
      </c>
      <c r="D24" s="19" t="s">
        <v>10</v>
      </c>
    </row>
    <row r="25" spans="2:4" hidden="1" outlineLevel="1" x14ac:dyDescent="0.25">
      <c r="B25" s="13" t="s">
        <v>19</v>
      </c>
      <c r="C25" s="16">
        <f>C23*C24</f>
        <v>66.493000000000009</v>
      </c>
    </row>
    <row r="26" spans="2:4" hidden="1" outlineLevel="1" x14ac:dyDescent="0.25">
      <c r="B26" s="13" t="s">
        <v>15</v>
      </c>
      <c r="C26" s="13">
        <v>365</v>
      </c>
    </row>
    <row r="27" spans="2:4" hidden="1" outlineLevel="1" x14ac:dyDescent="0.25">
      <c r="B27" s="13" t="s">
        <v>26</v>
      </c>
      <c r="C27" s="16">
        <f>C25*C26</f>
        <v>24269.945000000003</v>
      </c>
    </row>
    <row r="28" spans="2:4" hidden="1" outlineLevel="1" x14ac:dyDescent="0.25">
      <c r="B28" s="13" t="s">
        <v>20</v>
      </c>
      <c r="C28" s="21">
        <f>'Años Ant'!C16</f>
        <v>36</v>
      </c>
    </row>
    <row r="29" spans="2:4" collapsed="1" x14ac:dyDescent="0.25">
      <c r="B29" s="40" t="s">
        <v>27</v>
      </c>
      <c r="C29" s="41">
        <f>C27*C28</f>
        <v>873718.02000000014</v>
      </c>
      <c r="D29" s="47">
        <f>C29/12</f>
        <v>72809.835000000006</v>
      </c>
    </row>
    <row r="30" spans="2:4" ht="3" customHeight="1" x14ac:dyDescent="0.25"/>
    <row r="31" spans="2:4" hidden="1" outlineLevel="1" x14ac:dyDescent="0.25">
      <c r="B31" s="39" t="s">
        <v>76</v>
      </c>
    </row>
    <row r="32" spans="2:4" hidden="1" outlineLevel="1" x14ac:dyDescent="0.25">
      <c r="B32" s="13" t="s">
        <v>29</v>
      </c>
      <c r="C32" s="16">
        <f>C20</f>
        <v>128779.3</v>
      </c>
    </row>
    <row r="33" spans="2:7" hidden="1" outlineLevel="1" x14ac:dyDescent="0.25">
      <c r="B33" s="13" t="s">
        <v>30</v>
      </c>
      <c r="C33" s="16">
        <f>C29</f>
        <v>873718.02000000014</v>
      </c>
    </row>
    <row r="34" spans="2:7" collapsed="1" x14ac:dyDescent="0.25">
      <c r="B34" s="40" t="s">
        <v>77</v>
      </c>
      <c r="C34" s="41">
        <f>SUM(C32:C33)</f>
        <v>1002497.3200000002</v>
      </c>
      <c r="D34" s="47">
        <f>C34/12</f>
        <v>83541.443333333344</v>
      </c>
    </row>
    <row r="35" spans="2:7" ht="3" customHeight="1" x14ac:dyDescent="0.25">
      <c r="B35" s="42"/>
      <c r="C35" s="43"/>
      <c r="D35" s="22"/>
    </row>
    <row r="36" spans="2:7" hidden="1" outlineLevel="1" x14ac:dyDescent="0.25">
      <c r="B36" s="39" t="s">
        <v>78</v>
      </c>
      <c r="D36" s="22"/>
    </row>
    <row r="37" spans="2:7" hidden="1" outlineLevel="1" x14ac:dyDescent="0.25">
      <c r="B37" s="13" t="s">
        <v>76</v>
      </c>
      <c r="C37" s="16">
        <f>C$34</f>
        <v>1002497.3200000002</v>
      </c>
      <c r="D37" s="22"/>
    </row>
    <row r="38" spans="2:7" hidden="1" outlineLevel="1" x14ac:dyDescent="0.25">
      <c r="B38" s="13" t="s">
        <v>79</v>
      </c>
      <c r="C38" s="17">
        <v>0.15</v>
      </c>
      <c r="D38" s="22"/>
    </row>
    <row r="39" spans="2:7" collapsed="1" x14ac:dyDescent="0.25">
      <c r="B39" s="40" t="s">
        <v>97</v>
      </c>
      <c r="C39" s="41">
        <f>IF(C6="No",0,C37*C38)</f>
        <v>0</v>
      </c>
      <c r="D39" s="47">
        <f>C39/12</f>
        <v>0</v>
      </c>
      <c r="G39" s="10"/>
    </row>
    <row r="40" spans="2:7" ht="3" customHeight="1" x14ac:dyDescent="0.25">
      <c r="B40" s="42"/>
      <c r="C40" s="43"/>
      <c r="D40" s="22"/>
    </row>
    <row r="41" spans="2:7" hidden="1" outlineLevel="1" x14ac:dyDescent="0.25">
      <c r="B41" s="39" t="s">
        <v>80</v>
      </c>
      <c r="D41" s="22"/>
    </row>
    <row r="42" spans="2:7" hidden="1" outlineLevel="1" x14ac:dyDescent="0.25">
      <c r="B42" s="13" t="s">
        <v>76</v>
      </c>
      <c r="C42" s="16">
        <f>C$34</f>
        <v>1002497.3200000002</v>
      </c>
      <c r="D42" s="22"/>
    </row>
    <row r="43" spans="2:7" hidden="1" outlineLevel="1" x14ac:dyDescent="0.25">
      <c r="B43" s="13" t="s">
        <v>81</v>
      </c>
      <c r="C43" s="17">
        <v>0.1</v>
      </c>
      <c r="D43" s="22"/>
    </row>
    <row r="44" spans="2:7" hidden="1" outlineLevel="1" x14ac:dyDescent="0.25">
      <c r="B44" s="13" t="s">
        <v>82</v>
      </c>
      <c r="C44" s="14">
        <f>C7</f>
        <v>0</v>
      </c>
      <c r="D44" s="22"/>
    </row>
    <row r="45" spans="2:7" collapsed="1" x14ac:dyDescent="0.25">
      <c r="B45" s="40" t="s">
        <v>98</v>
      </c>
      <c r="C45" s="41">
        <f>C42*C43*C44</f>
        <v>0</v>
      </c>
      <c r="D45" s="47">
        <f>C45/12</f>
        <v>0</v>
      </c>
    </row>
    <row r="46" spans="2:7" ht="3" customHeight="1" x14ac:dyDescent="0.25">
      <c r="B46" s="42"/>
      <c r="C46" s="43"/>
      <c r="D46" s="22"/>
    </row>
    <row r="47" spans="2:7" hidden="1" outlineLevel="1" x14ac:dyDescent="0.25">
      <c r="B47" s="39" t="s">
        <v>96</v>
      </c>
      <c r="D47" s="22"/>
    </row>
    <row r="48" spans="2:7" hidden="1" outlineLevel="1" x14ac:dyDescent="0.25">
      <c r="B48" s="13" t="s">
        <v>76</v>
      </c>
      <c r="C48" s="16">
        <f>C$34</f>
        <v>1002497.3200000002</v>
      </c>
      <c r="D48" s="22"/>
    </row>
    <row r="49" spans="2:7" hidden="1" outlineLevel="1" x14ac:dyDescent="0.25">
      <c r="B49" s="13" t="s">
        <v>85</v>
      </c>
      <c r="C49" s="17">
        <v>0.2</v>
      </c>
      <c r="D49" s="22"/>
    </row>
    <row r="50" spans="2:7" hidden="1" outlineLevel="1" x14ac:dyDescent="0.25">
      <c r="B50" s="13" t="s">
        <v>83</v>
      </c>
      <c r="C50" s="14">
        <f>C8</f>
        <v>0</v>
      </c>
      <c r="D50" s="22"/>
    </row>
    <row r="51" spans="2:7" collapsed="1" x14ac:dyDescent="0.25">
      <c r="B51" s="40" t="s">
        <v>99</v>
      </c>
      <c r="C51" s="41">
        <f>IF(OR(C6="Si",C7&gt;0),0,C48*C49*C50)</f>
        <v>0</v>
      </c>
      <c r="D51" s="47">
        <f>C51/12</f>
        <v>0</v>
      </c>
      <c r="G51" s="10"/>
    </row>
    <row r="52" spans="2:7" ht="3" customHeight="1" x14ac:dyDescent="0.25">
      <c r="B52" s="42"/>
      <c r="C52" s="43"/>
      <c r="D52" s="22"/>
    </row>
    <row r="53" spans="2:7" hidden="1" outlineLevel="1" x14ac:dyDescent="0.25">
      <c r="B53" s="39" t="s">
        <v>84</v>
      </c>
      <c r="D53" s="22"/>
    </row>
    <row r="54" spans="2:7" hidden="1" outlineLevel="1" x14ac:dyDescent="0.25">
      <c r="B54" s="13" t="s">
        <v>76</v>
      </c>
      <c r="C54" s="16">
        <f>C$34</f>
        <v>1002497.3200000002</v>
      </c>
      <c r="D54" s="22"/>
    </row>
    <row r="55" spans="2:7" hidden="1" outlineLevel="1" x14ac:dyDescent="0.25">
      <c r="B55" s="13" t="s">
        <v>86</v>
      </c>
      <c r="C55" s="17">
        <v>0.15</v>
      </c>
      <c r="D55" s="22"/>
    </row>
    <row r="56" spans="2:7" collapsed="1" x14ac:dyDescent="0.25">
      <c r="B56" s="40" t="s">
        <v>100</v>
      </c>
      <c r="C56" s="41">
        <f>IF(AND(C6="No",C7=0,C8=0),C54*C55,0)</f>
        <v>150374.59800000003</v>
      </c>
      <c r="D56" s="47">
        <f>C56/12</f>
        <v>12531.216500000002</v>
      </c>
      <c r="G56" s="10"/>
    </row>
    <row r="57" spans="2:7" ht="3" customHeight="1" x14ac:dyDescent="0.25">
      <c r="C57" s="10"/>
      <c r="D57" s="22"/>
    </row>
    <row r="58" spans="2:7" hidden="1" outlineLevel="1" x14ac:dyDescent="0.25">
      <c r="B58" s="39" t="s">
        <v>88</v>
      </c>
      <c r="C58" s="10"/>
      <c r="D58" s="22"/>
    </row>
    <row r="59" spans="2:7" hidden="1" outlineLevel="1" x14ac:dyDescent="0.25">
      <c r="B59" s="13" t="s">
        <v>87</v>
      </c>
      <c r="C59" s="16">
        <f>C39+C45+C51+C56</f>
        <v>150374.59800000003</v>
      </c>
      <c r="D59" s="22">
        <f>C59/12</f>
        <v>12531.216500000002</v>
      </c>
    </row>
    <row r="60" spans="2:7" hidden="1" outlineLevel="1" x14ac:dyDescent="0.25">
      <c r="B60" s="13" t="s">
        <v>89</v>
      </c>
      <c r="C60" s="16">
        <f>C$34</f>
        <v>1002497.3200000002</v>
      </c>
      <c r="D60" s="22"/>
    </row>
    <row r="61" spans="2:7" collapsed="1" x14ac:dyDescent="0.25">
      <c r="B61" s="40" t="s">
        <v>90</v>
      </c>
      <c r="C61" s="41">
        <f>SUM(C59:C60)</f>
        <v>1152871.9180000003</v>
      </c>
      <c r="D61" s="47">
        <f>C61/12</f>
        <v>96072.659833333353</v>
      </c>
    </row>
    <row r="62" spans="2:7" ht="3" customHeight="1" x14ac:dyDescent="0.25">
      <c r="C62" s="10"/>
      <c r="D62" s="22"/>
    </row>
    <row r="63" spans="2:7" hidden="1" outlineLevel="1" x14ac:dyDescent="0.25">
      <c r="B63" s="39" t="s">
        <v>91</v>
      </c>
      <c r="C63" s="10"/>
      <c r="D63" s="22"/>
    </row>
    <row r="64" spans="2:7" hidden="1" outlineLevel="1" x14ac:dyDescent="0.25">
      <c r="B64" s="13" t="s">
        <v>88</v>
      </c>
      <c r="C64" s="16">
        <f>SUM(C61:C62)</f>
        <v>1152871.9180000003</v>
      </c>
      <c r="D64" s="22">
        <f>C64/12</f>
        <v>96072.659833333353</v>
      </c>
    </row>
    <row r="65" spans="2:5" hidden="1" outlineLevel="1" x14ac:dyDescent="0.25">
      <c r="B65" s="13" t="s">
        <v>43</v>
      </c>
      <c r="C65" s="18">
        <v>1.1100000000000001</v>
      </c>
      <c r="D65" s="7" t="s">
        <v>5</v>
      </c>
    </row>
    <row r="66" spans="2:5" collapsed="1" x14ac:dyDescent="0.25">
      <c r="B66" s="40" t="s">
        <v>44</v>
      </c>
      <c r="C66" s="41">
        <f>C64*C65</f>
        <v>1279687.8289800005</v>
      </c>
      <c r="D66" s="47">
        <f>C66/12</f>
        <v>106640.65241500003</v>
      </c>
    </row>
    <row r="67" spans="2:5" ht="3" customHeight="1" x14ac:dyDescent="0.25">
      <c r="B67" s="42"/>
      <c r="C67" s="43"/>
      <c r="D67" s="22"/>
    </row>
    <row r="68" spans="2:5" hidden="1" outlineLevel="1" x14ac:dyDescent="0.25">
      <c r="B68" s="45" t="s">
        <v>92</v>
      </c>
      <c r="C68" s="46"/>
      <c r="D68" s="22"/>
    </row>
    <row r="69" spans="2:5" hidden="1" outlineLevel="1" x14ac:dyDescent="0.25">
      <c r="B69" s="13" t="s">
        <v>94</v>
      </c>
      <c r="C69" s="17">
        <f>VLOOKUP(C9,Tablas!$F$3:$G$8,2,FALSE)</f>
        <v>1</v>
      </c>
      <c r="D69" s="19" t="s">
        <v>11</v>
      </c>
    </row>
    <row r="70" spans="2:5" hidden="1" outlineLevel="1" x14ac:dyDescent="0.25">
      <c r="B70" s="13" t="s">
        <v>95</v>
      </c>
      <c r="C70" s="16">
        <f>C66</f>
        <v>1279687.8289800005</v>
      </c>
      <c r="D70" s="19"/>
    </row>
    <row r="71" spans="2:5" collapsed="1" x14ac:dyDescent="0.25">
      <c r="B71" s="29" t="s">
        <v>93</v>
      </c>
      <c r="C71" s="30">
        <f>C69*C70</f>
        <v>1279687.8289800005</v>
      </c>
      <c r="D71" s="30">
        <f>C71/12</f>
        <v>106640.65241500003</v>
      </c>
      <c r="E71" s="10"/>
    </row>
    <row r="73" spans="2:5" x14ac:dyDescent="0.25">
      <c r="B73" s="52"/>
    </row>
    <row r="78" spans="2:5" x14ac:dyDescent="0.25">
      <c r="C78" s="10"/>
    </row>
    <row r="79" spans="2:5" x14ac:dyDescent="0.25">
      <c r="C79" s="10"/>
      <c r="D79" s="10"/>
    </row>
  </sheetData>
  <mergeCells count="2">
    <mergeCell ref="B1:C1"/>
    <mergeCell ref="B2:C2"/>
  </mergeCells>
  <dataValidations count="2">
    <dataValidation type="list" allowBlank="1" showInputMessage="1" showErrorMessage="1" sqref="C6" xr:uid="{00000000-0002-0000-0000-000000000000}">
      <formula1>Respuesta</formula1>
    </dataValidation>
    <dataValidation type="list" allowBlank="1" showInputMessage="1" showErrorMessage="1" sqref="C8" xr:uid="{00000000-0002-0000-0000-000001000000}">
      <formula1>NoPadres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25"/>
  <sheetViews>
    <sheetView showGridLines="0" workbookViewId="0">
      <selection activeCell="A23" sqref="A23"/>
    </sheetView>
  </sheetViews>
  <sheetFormatPr baseColWidth="10" defaultColWidth="11.42578125" defaultRowHeight="12" x14ac:dyDescent="0.2"/>
  <cols>
    <col min="1" max="2" width="7" style="1" customWidth="1"/>
    <col min="3" max="3" width="9.85546875" style="1" customWidth="1"/>
    <col min="4" max="4" width="9.5703125" style="1" customWidth="1"/>
    <col min="5" max="5" width="9.7109375" style="1" customWidth="1"/>
    <col min="6" max="6" width="35" style="1" bestFit="1" customWidth="1"/>
    <col min="7" max="7" width="11.42578125" style="1"/>
    <col min="8" max="8" width="8.85546875" style="1" customWidth="1"/>
    <col min="9" max="9" width="3.42578125" style="1" customWidth="1"/>
    <col min="10" max="10" width="25.42578125" style="1" customWidth="1"/>
    <col min="11" max="11" width="11" style="1" bestFit="1" customWidth="1"/>
    <col min="12" max="16384" width="11.42578125" style="1"/>
  </cols>
  <sheetData>
    <row r="1" spans="1:15" x14ac:dyDescent="0.2">
      <c r="A1" s="54" t="s">
        <v>0</v>
      </c>
      <c r="B1" s="54"/>
    </row>
    <row r="2" spans="1:15" ht="24" x14ac:dyDescent="0.2">
      <c r="A2" s="3" t="s">
        <v>3</v>
      </c>
      <c r="B2" s="3" t="s">
        <v>4</v>
      </c>
      <c r="C2" s="3" t="s">
        <v>1</v>
      </c>
      <c r="D2" s="3" t="s">
        <v>2</v>
      </c>
      <c r="F2" s="3" t="s">
        <v>7</v>
      </c>
      <c r="G2" s="3" t="s">
        <v>6</v>
      </c>
    </row>
    <row r="3" spans="1:15" ht="15" x14ac:dyDescent="0.25">
      <c r="A3" s="5">
        <v>0</v>
      </c>
      <c r="B3" s="6">
        <v>1</v>
      </c>
      <c r="C3" s="4">
        <v>0.8</v>
      </c>
      <c r="D3" s="4">
        <v>5.6299999999999996E-3</v>
      </c>
      <c r="F3" s="2">
        <v>60</v>
      </c>
      <c r="G3" s="8">
        <v>0.75</v>
      </c>
      <c r="J3" s="35"/>
      <c r="K3"/>
      <c r="L3" s="37"/>
      <c r="M3" s="37"/>
    </row>
    <row r="4" spans="1:15" ht="15" x14ac:dyDescent="0.25">
      <c r="A4" s="5">
        <v>1.01</v>
      </c>
      <c r="B4" s="6">
        <v>1.25</v>
      </c>
      <c r="C4" s="4">
        <v>0.77110000000000001</v>
      </c>
      <c r="D4" s="4">
        <v>8.1399999999999997E-3</v>
      </c>
      <c r="F4" s="2">
        <v>61</v>
      </c>
      <c r="G4" s="8">
        <v>0.8</v>
      </c>
      <c r="J4" s="35"/>
      <c r="K4" s="35"/>
      <c r="L4" s="37"/>
      <c r="M4" s="37"/>
      <c r="N4" s="38"/>
      <c r="O4" s="38"/>
    </row>
    <row r="5" spans="1:15" ht="15" x14ac:dyDescent="0.25">
      <c r="A5" s="5">
        <v>1.26</v>
      </c>
      <c r="B5" s="6">
        <v>1.5</v>
      </c>
      <c r="C5" s="4">
        <v>0.55179999999999996</v>
      </c>
      <c r="D5" s="4">
        <v>1.1780000000000002E-2</v>
      </c>
      <c r="F5" s="2">
        <v>62</v>
      </c>
      <c r="G5" s="8">
        <v>0.85</v>
      </c>
      <c r="J5" s="35"/>
      <c r="K5" s="35"/>
      <c r="L5" s="37"/>
      <c r="M5" s="37"/>
      <c r="N5" s="38"/>
      <c r="O5" s="38"/>
    </row>
    <row r="6" spans="1:15" ht="15" x14ac:dyDescent="0.25">
      <c r="A6" s="5">
        <v>1.51</v>
      </c>
      <c r="B6" s="6">
        <v>1.75</v>
      </c>
      <c r="C6" s="4">
        <v>0.49230000000000002</v>
      </c>
      <c r="D6" s="4">
        <v>1.43E-2</v>
      </c>
      <c r="F6" s="2">
        <v>63</v>
      </c>
      <c r="G6" s="8">
        <v>0.9</v>
      </c>
      <c r="J6" s="35"/>
      <c r="K6" s="35"/>
      <c r="L6" s="37"/>
      <c r="M6" s="37"/>
      <c r="N6" s="38"/>
      <c r="O6" s="38"/>
    </row>
    <row r="7" spans="1:15" ht="15" x14ac:dyDescent="0.25">
      <c r="A7" s="5">
        <v>1.76</v>
      </c>
      <c r="B7" s="6">
        <v>2</v>
      </c>
      <c r="C7" s="4">
        <v>0.42670000000000002</v>
      </c>
      <c r="D7" s="4">
        <v>1.6150000000000001E-2</v>
      </c>
      <c r="F7" s="2">
        <v>64</v>
      </c>
      <c r="G7" s="8">
        <v>0.95</v>
      </c>
      <c r="J7" s="35"/>
      <c r="K7" s="35"/>
      <c r="L7" s="37"/>
      <c r="M7" s="37"/>
      <c r="N7" s="38"/>
      <c r="O7" s="38"/>
    </row>
    <row r="8" spans="1:15" ht="12.75" x14ac:dyDescent="0.2">
      <c r="A8" s="5">
        <v>2.0099999999999998</v>
      </c>
      <c r="B8" s="6">
        <v>2.25</v>
      </c>
      <c r="C8" s="4">
        <v>0.3765</v>
      </c>
      <c r="D8" s="4">
        <v>1.7559999999999999E-2</v>
      </c>
      <c r="F8" s="2">
        <v>65</v>
      </c>
      <c r="G8" s="8">
        <v>1</v>
      </c>
      <c r="J8" s="36"/>
      <c r="K8" s="36"/>
      <c r="L8" s="37"/>
      <c r="M8" s="37"/>
      <c r="N8" s="38"/>
      <c r="O8" s="38"/>
    </row>
    <row r="9" spans="1:15" ht="12.75" x14ac:dyDescent="0.2">
      <c r="A9" s="5">
        <v>2.2599999999999998</v>
      </c>
      <c r="B9" s="6">
        <v>2.5</v>
      </c>
      <c r="C9" s="4">
        <v>0.33679999999999999</v>
      </c>
      <c r="D9" s="4">
        <v>1.8679999999999999E-2</v>
      </c>
      <c r="F9" s="1" t="s">
        <v>8</v>
      </c>
      <c r="J9" s="36"/>
      <c r="K9" s="36"/>
      <c r="L9" s="37"/>
      <c r="M9" s="37"/>
      <c r="N9" s="38"/>
      <c r="O9" s="38"/>
    </row>
    <row r="10" spans="1:15" ht="12.75" x14ac:dyDescent="0.2">
      <c r="A10" s="5">
        <v>2.5099999999999998</v>
      </c>
      <c r="B10" s="6">
        <v>2.75</v>
      </c>
      <c r="C10" s="4">
        <v>0.30480000000000002</v>
      </c>
      <c r="D10" s="4">
        <v>1.958E-2</v>
      </c>
      <c r="F10" s="3" t="s">
        <v>31</v>
      </c>
      <c r="G10" s="3" t="s">
        <v>32</v>
      </c>
      <c r="J10" s="36"/>
      <c r="K10" s="36"/>
      <c r="L10" s="37"/>
      <c r="M10" s="37"/>
      <c r="N10" s="38"/>
      <c r="O10" s="38"/>
    </row>
    <row r="11" spans="1:15" ht="12.75" x14ac:dyDescent="0.2">
      <c r="A11" s="5">
        <v>2.76</v>
      </c>
      <c r="B11" s="6">
        <v>3</v>
      </c>
      <c r="C11" s="4">
        <v>0.27829999999999999</v>
      </c>
      <c r="D11" s="4">
        <v>2.0330000000000001E-2</v>
      </c>
      <c r="F11" s="2">
        <v>0</v>
      </c>
      <c r="G11" s="2">
        <v>0</v>
      </c>
      <c r="J11" s="36"/>
      <c r="K11" s="36"/>
      <c r="L11" s="37"/>
      <c r="M11" s="37"/>
      <c r="N11" s="38"/>
      <c r="O11" s="38"/>
    </row>
    <row r="12" spans="1:15" ht="12.75" x14ac:dyDescent="0.2">
      <c r="A12" s="5">
        <v>3.01</v>
      </c>
      <c r="B12" s="6">
        <v>3.25</v>
      </c>
      <c r="C12" s="4">
        <v>0.25600000000000001</v>
      </c>
      <c r="D12" s="4">
        <v>2.0959999999999999E-2</v>
      </c>
      <c r="F12" s="2">
        <v>13</v>
      </c>
      <c r="G12" s="2">
        <v>0.5</v>
      </c>
      <c r="J12" s="36"/>
      <c r="K12" s="36"/>
      <c r="L12" s="37"/>
      <c r="M12" s="37"/>
      <c r="N12" s="38"/>
      <c r="O12" s="38"/>
    </row>
    <row r="13" spans="1:15" ht="12.75" x14ac:dyDescent="0.2">
      <c r="A13" s="5">
        <v>3.26</v>
      </c>
      <c r="B13" s="6">
        <v>3.5</v>
      </c>
      <c r="C13" s="4">
        <v>0.23699999999999999</v>
      </c>
      <c r="D13" s="4">
        <v>2.1489999999999999E-2</v>
      </c>
      <c r="F13" s="2">
        <v>26.1</v>
      </c>
      <c r="G13" s="2">
        <v>1</v>
      </c>
      <c r="J13" s="36"/>
      <c r="K13" s="36"/>
      <c r="L13" s="37"/>
      <c r="M13" s="37"/>
      <c r="N13" s="38"/>
      <c r="O13" s="38"/>
    </row>
    <row r="14" spans="1:15" ht="12.75" x14ac:dyDescent="0.2">
      <c r="A14" s="5">
        <v>3.51</v>
      </c>
      <c r="B14" s="6">
        <v>3.75</v>
      </c>
      <c r="C14" s="4">
        <v>0.22070000000000001</v>
      </c>
      <c r="D14" s="4">
        <v>2.1950000000000004E-2</v>
      </c>
      <c r="J14" s="36"/>
      <c r="K14" s="36"/>
      <c r="L14" s="37"/>
      <c r="M14" s="37"/>
      <c r="N14" s="38"/>
      <c r="O14" s="38"/>
    </row>
    <row r="15" spans="1:15" ht="12.75" x14ac:dyDescent="0.2">
      <c r="A15" s="5">
        <v>3.76</v>
      </c>
      <c r="B15" s="6">
        <v>4</v>
      </c>
      <c r="C15" s="4">
        <v>0.20649999999999999</v>
      </c>
      <c r="D15" s="4">
        <v>2.2349999999999998E-2</v>
      </c>
      <c r="F15" s="3"/>
      <c r="G15" s="3"/>
      <c r="J15" s="36"/>
      <c r="K15" s="36"/>
      <c r="L15" s="37"/>
      <c r="M15" s="37"/>
      <c r="N15" s="38"/>
      <c r="O15" s="38"/>
    </row>
    <row r="16" spans="1:15" ht="12.75" x14ac:dyDescent="0.2">
      <c r="A16" s="5">
        <v>4.01</v>
      </c>
      <c r="B16" s="6">
        <v>4.25</v>
      </c>
      <c r="C16" s="4">
        <v>0.19389999999999999</v>
      </c>
      <c r="D16" s="4">
        <v>2.2709999999999998E-2</v>
      </c>
      <c r="F16" s="2" t="s">
        <v>45</v>
      </c>
      <c r="G16" s="8">
        <v>0.15</v>
      </c>
      <c r="J16" s="36"/>
      <c r="K16" s="36"/>
      <c r="L16" s="37"/>
      <c r="M16" s="37"/>
      <c r="N16" s="38"/>
      <c r="O16" s="38"/>
    </row>
    <row r="17" spans="1:15" ht="12.75" x14ac:dyDescent="0.2">
      <c r="A17" s="5">
        <v>4.26</v>
      </c>
      <c r="B17" s="6">
        <v>4.5</v>
      </c>
      <c r="C17" s="4">
        <v>0.18290000000000001</v>
      </c>
      <c r="D17" s="4">
        <v>2.3019999999999999E-2</v>
      </c>
      <c r="F17" s="2" t="s">
        <v>46</v>
      </c>
      <c r="G17" s="2" t="s">
        <v>47</v>
      </c>
      <c r="J17" s="36"/>
      <c r="K17" s="36"/>
      <c r="L17" s="37"/>
      <c r="M17" s="37"/>
      <c r="N17" s="38"/>
      <c r="O17" s="38"/>
    </row>
    <row r="18" spans="1:15" ht="12.75" x14ac:dyDescent="0.2">
      <c r="A18" s="5">
        <v>4.51</v>
      </c>
      <c r="B18" s="6">
        <v>4.75</v>
      </c>
      <c r="C18" s="4">
        <v>0.17299999999999999</v>
      </c>
      <c r="D18" s="4">
        <v>2.3300000000000001E-2</v>
      </c>
      <c r="F18" s="2" t="s">
        <v>48</v>
      </c>
      <c r="G18" s="2" t="s">
        <v>47</v>
      </c>
      <c r="J18" s="36"/>
      <c r="K18" s="36"/>
      <c r="L18" s="37"/>
      <c r="M18" s="37"/>
      <c r="N18" s="38"/>
      <c r="O18" s="38"/>
    </row>
    <row r="19" spans="1:15" ht="12.75" x14ac:dyDescent="0.2">
      <c r="A19" s="5">
        <v>4.76</v>
      </c>
      <c r="B19" s="6">
        <v>5</v>
      </c>
      <c r="C19" s="4">
        <v>0.1641</v>
      </c>
      <c r="D19" s="4">
        <v>2.3550000000000001E-2</v>
      </c>
      <c r="F19" s="2" t="s">
        <v>49</v>
      </c>
      <c r="G19" s="8">
        <v>0.15</v>
      </c>
      <c r="J19" s="36"/>
      <c r="K19" s="36"/>
      <c r="L19" s="37"/>
      <c r="M19" s="37"/>
      <c r="N19" s="38"/>
      <c r="O19" s="38"/>
    </row>
    <row r="20" spans="1:15" ht="12.75" x14ac:dyDescent="0.2">
      <c r="A20" s="5">
        <v>5.01</v>
      </c>
      <c r="B20" s="6">
        <v>5.25</v>
      </c>
      <c r="C20" s="4">
        <v>0.15609999999999999</v>
      </c>
      <c r="D20" s="4">
        <v>2.3769999999999999E-2</v>
      </c>
      <c r="J20" s="36"/>
      <c r="K20" s="36"/>
      <c r="L20" s="37"/>
      <c r="M20" s="37"/>
      <c r="N20" s="38"/>
      <c r="O20" s="38"/>
    </row>
    <row r="21" spans="1:15" ht="12.75" x14ac:dyDescent="0.2">
      <c r="A21" s="5">
        <v>5.26</v>
      </c>
      <c r="B21" s="6">
        <v>5.5</v>
      </c>
      <c r="C21" s="4">
        <v>0.14879999999999999</v>
      </c>
      <c r="D21" s="4">
        <v>2.3980000000000001E-2</v>
      </c>
    </row>
    <row r="22" spans="1:15" ht="12.75" x14ac:dyDescent="0.2">
      <c r="A22" s="5">
        <v>5.51</v>
      </c>
      <c r="B22" s="6">
        <v>5.75</v>
      </c>
      <c r="C22" s="4">
        <v>0.14219999999999999</v>
      </c>
      <c r="D22" s="4">
        <v>2.4160000000000001E-2</v>
      </c>
    </row>
    <row r="23" spans="1:15" ht="12.75" x14ac:dyDescent="0.2">
      <c r="A23" s="5">
        <v>5.76</v>
      </c>
      <c r="B23" s="6">
        <v>6</v>
      </c>
      <c r="C23" s="4">
        <v>0.13619999999999999</v>
      </c>
      <c r="D23" s="4">
        <v>2.4330000000000004E-2</v>
      </c>
    </row>
    <row r="24" spans="1:15" ht="12.75" x14ac:dyDescent="0.2">
      <c r="A24" s="5">
        <v>6.01</v>
      </c>
      <c r="B24" s="6"/>
      <c r="C24" s="4">
        <v>0.13</v>
      </c>
      <c r="D24" s="4">
        <v>2.4500000000000001E-2</v>
      </c>
    </row>
    <row r="25" spans="1:15" x14ac:dyDescent="0.2">
      <c r="D25" s="9"/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B1:D15"/>
  <sheetViews>
    <sheetView showGridLines="0" workbookViewId="0">
      <selection activeCell="C2" sqref="C2"/>
    </sheetView>
  </sheetViews>
  <sheetFormatPr baseColWidth="10" defaultColWidth="9.140625" defaultRowHeight="15" x14ac:dyDescent="0.25"/>
  <cols>
    <col min="1" max="1" width="11.42578125" customWidth="1"/>
    <col min="2" max="2" width="31.5703125" bestFit="1" customWidth="1"/>
    <col min="3" max="3" width="12" bestFit="1" customWidth="1"/>
    <col min="4" max="256" width="11.42578125" customWidth="1"/>
  </cols>
  <sheetData>
    <row r="1" spans="2:4" x14ac:dyDescent="0.25">
      <c r="B1" s="27" t="s">
        <v>101</v>
      </c>
      <c r="C1" s="23">
        <v>108.57</v>
      </c>
      <c r="D1" s="7">
        <v>2017</v>
      </c>
    </row>
    <row r="2" spans="2:4" x14ac:dyDescent="0.25">
      <c r="B2" s="27" t="s">
        <v>51</v>
      </c>
      <c r="C2" s="24">
        <v>25</v>
      </c>
      <c r="D2" s="1"/>
    </row>
    <row r="3" spans="2:4" x14ac:dyDescent="0.25">
      <c r="B3" s="27" t="s">
        <v>55</v>
      </c>
      <c r="C3" s="23">
        <f>C1*C2</f>
        <v>2714.25</v>
      </c>
      <c r="D3" s="1"/>
    </row>
    <row r="4" spans="2:4" x14ac:dyDescent="0.25">
      <c r="B4" s="27" t="s">
        <v>52</v>
      </c>
      <c r="C4" s="24">
        <v>30</v>
      </c>
      <c r="D4" s="1"/>
    </row>
    <row r="5" spans="2:4" x14ac:dyDescent="0.25">
      <c r="B5" s="27" t="s">
        <v>54</v>
      </c>
      <c r="C5" s="23">
        <f>C3*C4</f>
        <v>81427.5</v>
      </c>
      <c r="D5" s="1"/>
    </row>
    <row r="6" spans="2:4" x14ac:dyDescent="0.25">
      <c r="B6" s="27" t="s">
        <v>53</v>
      </c>
      <c r="C6" s="26">
        <v>0.10075000000000001</v>
      </c>
      <c r="D6" s="1"/>
    </row>
    <row r="7" spans="2:4" x14ac:dyDescent="0.25">
      <c r="B7" s="27" t="s">
        <v>58</v>
      </c>
      <c r="C7" s="28">
        <f>C5*C6</f>
        <v>8203.8206250000003</v>
      </c>
      <c r="D7" s="1"/>
    </row>
    <row r="8" spans="2:4" x14ac:dyDescent="0.25">
      <c r="B8" s="27" t="s">
        <v>56</v>
      </c>
      <c r="C8" s="25">
        <v>0.19850000000000001</v>
      </c>
      <c r="D8" s="1"/>
    </row>
    <row r="9" spans="2:4" x14ac:dyDescent="0.25">
      <c r="B9" s="27" t="s">
        <v>57</v>
      </c>
      <c r="C9" s="23">
        <f>C7*C8</f>
        <v>1628.4583940625002</v>
      </c>
      <c r="D9" s="1"/>
    </row>
    <row r="11" spans="2:4" x14ac:dyDescent="0.25">
      <c r="B11" s="27" t="s">
        <v>59</v>
      </c>
      <c r="C11" s="28">
        <f>C7</f>
        <v>8203.8206250000003</v>
      </c>
    </row>
    <row r="12" spans="2:4" x14ac:dyDescent="0.25">
      <c r="B12" s="27" t="s">
        <v>60</v>
      </c>
      <c r="C12" s="24">
        <v>12</v>
      </c>
    </row>
    <row r="13" spans="2:4" x14ac:dyDescent="0.25">
      <c r="B13" s="27" t="s">
        <v>61</v>
      </c>
      <c r="C13" s="28">
        <f>C11*C12</f>
        <v>98445.847500000003</v>
      </c>
    </row>
    <row r="14" spans="2:4" x14ac:dyDescent="0.25">
      <c r="B14" s="27" t="s">
        <v>62</v>
      </c>
      <c r="C14" s="24">
        <v>5</v>
      </c>
    </row>
    <row r="15" spans="2:4" x14ac:dyDescent="0.25">
      <c r="B15" s="27" t="s">
        <v>65</v>
      </c>
      <c r="C15" s="28">
        <f>C13*C14</f>
        <v>492229.23750000005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B1:D16"/>
  <sheetViews>
    <sheetView workbookViewId="0">
      <selection activeCell="B16" sqref="B16"/>
    </sheetView>
  </sheetViews>
  <sheetFormatPr baseColWidth="10" defaultColWidth="9.140625" defaultRowHeight="15" x14ac:dyDescent="0.25"/>
  <cols>
    <col min="1" max="1" width="11.42578125" customWidth="1"/>
    <col min="2" max="2" width="55" bestFit="1" customWidth="1"/>
    <col min="3" max="256" width="11.42578125" customWidth="1"/>
  </cols>
  <sheetData>
    <row r="1" spans="2:4" x14ac:dyDescent="0.25">
      <c r="B1" s="13" t="s">
        <v>21</v>
      </c>
      <c r="C1" s="14">
        <f>'Calcula Pensión'!C4</f>
        <v>2353</v>
      </c>
    </row>
    <row r="2" spans="2:4" x14ac:dyDescent="0.25">
      <c r="B2" s="13" t="s">
        <v>22</v>
      </c>
      <c r="C2" s="14">
        <v>500</v>
      </c>
    </row>
    <row r="3" spans="2:4" x14ac:dyDescent="0.25">
      <c r="B3" s="13" t="s">
        <v>23</v>
      </c>
      <c r="C3" s="14">
        <f>C1-C2</f>
        <v>1853</v>
      </c>
    </row>
    <row r="4" spans="2:4" x14ac:dyDescent="0.25">
      <c r="B4" s="13" t="s">
        <v>24</v>
      </c>
      <c r="C4" s="14">
        <v>52</v>
      </c>
    </row>
    <row r="5" spans="2:4" x14ac:dyDescent="0.25">
      <c r="B5" s="13" t="s">
        <v>25</v>
      </c>
      <c r="C5" s="14">
        <f>TRUNC(C3/C4)</f>
        <v>35</v>
      </c>
    </row>
    <row r="6" spans="2:4" x14ac:dyDescent="0.25">
      <c r="B6" s="13" t="s">
        <v>35</v>
      </c>
      <c r="C6" s="14">
        <v>52</v>
      </c>
    </row>
    <row r="7" spans="2:4" x14ac:dyDescent="0.25">
      <c r="B7" s="13" t="s">
        <v>34</v>
      </c>
      <c r="C7" s="14">
        <f>C5*C6</f>
        <v>1820</v>
      </c>
    </row>
    <row r="8" spans="2:4" x14ac:dyDescent="0.25">
      <c r="C8" s="11"/>
    </row>
    <row r="9" spans="2:4" x14ac:dyDescent="0.25">
      <c r="B9" s="13" t="s">
        <v>33</v>
      </c>
      <c r="C9" s="14">
        <f>C3</f>
        <v>1853</v>
      </c>
    </row>
    <row r="10" spans="2:4" x14ac:dyDescent="0.25">
      <c r="B10" s="13" t="s">
        <v>36</v>
      </c>
      <c r="C10" s="14">
        <f>C7</f>
        <v>1820</v>
      </c>
    </row>
    <row r="11" spans="2:4" x14ac:dyDescent="0.25">
      <c r="B11" s="13" t="s">
        <v>38</v>
      </c>
      <c r="C11" s="14">
        <f>C9-C10</f>
        <v>33</v>
      </c>
      <c r="D11" s="12" t="s">
        <v>39</v>
      </c>
    </row>
    <row r="12" spans="2:4" x14ac:dyDescent="0.25">
      <c r="B12" s="13" t="s">
        <v>37</v>
      </c>
      <c r="C12" s="15">
        <f>VLOOKUP(C11,Tablas!$F$11:$G$13,2)</f>
        <v>1</v>
      </c>
    </row>
    <row r="13" spans="2:4" x14ac:dyDescent="0.25">
      <c r="C13" s="11"/>
    </row>
    <row r="14" spans="2:4" x14ac:dyDescent="0.25">
      <c r="B14" s="13" t="s">
        <v>40</v>
      </c>
      <c r="C14" s="14">
        <f>C5</f>
        <v>35</v>
      </c>
    </row>
    <row r="15" spans="2:4" x14ac:dyDescent="0.25">
      <c r="B15" s="13" t="s">
        <v>41</v>
      </c>
      <c r="C15" s="15">
        <f>C12</f>
        <v>1</v>
      </c>
    </row>
    <row r="16" spans="2:4" x14ac:dyDescent="0.25">
      <c r="B16" s="13" t="s">
        <v>42</v>
      </c>
      <c r="C16" s="20">
        <f>SUM(C14:C15)</f>
        <v>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D1:F3"/>
  <sheetViews>
    <sheetView workbookViewId="0">
      <selection activeCell="H12" sqref="H12"/>
    </sheetView>
  </sheetViews>
  <sheetFormatPr baseColWidth="10" defaultColWidth="9.140625" defaultRowHeight="15" x14ac:dyDescent="0.25"/>
  <cols>
    <col min="1" max="256" width="11.42578125" customWidth="1"/>
  </cols>
  <sheetData>
    <row r="1" spans="4:6" x14ac:dyDescent="0.25">
      <c r="F1">
        <v>0</v>
      </c>
    </row>
    <row r="2" spans="4:6" x14ac:dyDescent="0.25">
      <c r="D2" t="s">
        <v>71</v>
      </c>
      <c r="F2">
        <v>1</v>
      </c>
    </row>
    <row r="3" spans="4:6" x14ac:dyDescent="0.25">
      <c r="D3" t="s">
        <v>72</v>
      </c>
      <c r="F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Calcula Pensión</vt:lpstr>
      <vt:lpstr>Tablas</vt:lpstr>
      <vt:lpstr>Modalidad 40</vt:lpstr>
      <vt:lpstr>Años Ant</vt:lpstr>
      <vt:lpstr>Parametros</vt:lpstr>
      <vt:lpstr>NoPadres</vt:lpstr>
      <vt:lpstr>Respuesta</vt:lpstr>
    </vt:vector>
  </TitlesOfParts>
  <Company>Citigroup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MB81611</dc:creator>
  <cp:lastModifiedBy>MIGUEL ALARCON DIAZ</cp:lastModifiedBy>
  <cp:lastPrinted>2017-07-17T14:19:44Z</cp:lastPrinted>
  <dcterms:created xsi:type="dcterms:W3CDTF">2014-01-24T17:26:07Z</dcterms:created>
  <dcterms:modified xsi:type="dcterms:W3CDTF">2024-08-18T01:15:31Z</dcterms:modified>
</cp:coreProperties>
</file>