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Amsy\ams\KINGSTON NEGRA\CURSOS\CAFICON\2026\24-07-2026 NOMINA\"/>
    </mc:Choice>
  </mc:AlternateContent>
  <xr:revisionPtr revIDLastSave="0" documentId="8_{A66F93BC-697A-4469-9C1D-25D5F51E08D5}" xr6:coauthVersionLast="47" xr6:coauthVersionMax="47" xr10:uidLastSave="{00000000-0000-0000-0000-000000000000}"/>
  <bookViews>
    <workbookView xWindow="-120" yWindow="-120" windowWidth="29040" windowHeight="15720" tabRatio="821" xr2:uid="{03BAF534-DA77-4A6F-B2F8-09E23E165D8E}"/>
  </bookViews>
  <sheets>
    <sheet name="PORTADA" sheetId="8" r:id="rId1"/>
    <sheet name="APEND6" sheetId="10" r:id="rId2"/>
    <sheet name="VACA" sheetId="2" r:id="rId3"/>
    <sheet name="HE" sheetId="3" r:id="rId4"/>
    <sheet name="AGUINALDO" sheetId="6" r:id="rId5"/>
    <sheet name="174" sheetId="7" r:id="rId6"/>
    <sheet name="DEDUCCION" sheetId="11" r:id="rId7"/>
    <sheet name="FCFDI" sheetId="12" r:id="rId8"/>
    <sheet name="DSDI" sheetId="13" r:id="rId9"/>
    <sheet name="SBC" sheetId="14" r:id="rId10"/>
    <sheet name="INFONAVIT" sheetId="15" r:id="rId11"/>
    <sheet name="Tablas LFT" sheetId="4" r:id="rId12"/>
    <sheet name="TARIFA" sheetId="9" r:id="rId13"/>
  </sheets>
  <definedNames>
    <definedName name="COMPA">PORTADA!$C$8</definedName>
    <definedName name="TABLAV">TARIFA!$B$39:$D$53</definedName>
    <definedName name="TARIFAC">TARIFA!$G$24:$J$34</definedName>
    <definedName name="TMENSUAL">TARIFA!$B$7:$E$17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D16" i="14" l="1"/>
  <c r="D23" i="14" s="1"/>
  <c r="D24" i="14" s="1"/>
  <c r="I13" i="14"/>
  <c r="D25" i="14" s="1"/>
  <c r="C40" i="14"/>
  <c r="D28" i="14"/>
  <c r="C45" i="9"/>
  <c r="C44" i="9"/>
  <c r="B41" i="9"/>
  <c r="C41" i="9"/>
  <c r="D41" i="9"/>
  <c r="B42" i="9"/>
  <c r="C42" i="9"/>
  <c r="B43" i="9" s="1"/>
  <c r="D42" i="9"/>
  <c r="C43" i="9"/>
  <c r="D43" i="9"/>
  <c r="B44" i="9"/>
  <c r="D44" i="9"/>
  <c r="B45" i="9"/>
  <c r="D45" i="9"/>
  <c r="D46" i="9"/>
  <c r="D47" i="9"/>
  <c r="D48" i="9" s="1"/>
  <c r="D49" i="9" s="1"/>
  <c r="D50" i="9" s="1"/>
  <c r="D51" i="9" s="1"/>
  <c r="D52" i="9" s="1"/>
  <c r="D53" i="9" s="1"/>
  <c r="D40" i="9"/>
  <c r="C40" i="9"/>
  <c r="B40" i="9"/>
  <c r="D37" i="14"/>
  <c r="D35" i="14"/>
  <c r="D27" i="14"/>
  <c r="H15" i="14"/>
  <c r="K7" i="15"/>
  <c r="L7" i="15" s="1"/>
  <c r="N7" i="15" s="1"/>
  <c r="K6" i="15"/>
  <c r="L6" i="15" s="1"/>
  <c r="N6" i="15" s="1"/>
  <c r="H5" i="15"/>
  <c r="K5" i="15" s="1"/>
  <c r="L5" i="15" s="1"/>
  <c r="N5" i="15" s="1"/>
  <c r="F5" i="15"/>
  <c r="D76" i="14"/>
  <c r="D75" i="14"/>
  <c r="D74" i="14"/>
  <c r="D73" i="14"/>
  <c r="D72" i="14"/>
  <c r="D71" i="14"/>
  <c r="D70" i="14"/>
  <c r="D77" i="14" s="1"/>
  <c r="D56" i="14"/>
  <c r="D55" i="14"/>
  <c r="D54" i="14"/>
  <c r="D53" i="14"/>
  <c r="D52" i="14"/>
  <c r="D51" i="14"/>
  <c r="D50" i="14"/>
  <c r="H16" i="14"/>
  <c r="H14" i="14"/>
  <c r="J14" i="14" s="1"/>
  <c r="D26" i="14" s="1"/>
  <c r="D59" i="13"/>
  <c r="C55" i="13"/>
  <c r="D58" i="13" s="1"/>
  <c r="C20" i="13"/>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G11" i="13"/>
  <c r="D14" i="13" s="1"/>
  <c r="G10" i="13"/>
  <c r="D10" i="13"/>
  <c r="G9" i="13"/>
  <c r="G8" i="13"/>
  <c r="G7" i="13"/>
  <c r="G6" i="13"/>
  <c r="C6" i="13"/>
  <c r="B7" i="13" s="1"/>
  <c r="B6" i="13"/>
  <c r="D6" i="13" s="1"/>
  <c r="G5" i="13"/>
  <c r="D5" i="13"/>
  <c r="I42" i="12"/>
  <c r="I38" i="12"/>
  <c r="I37" i="12"/>
  <c r="I36" i="12"/>
  <c r="I41" i="12" s="1"/>
  <c r="I25" i="9"/>
  <c r="I26" i="9"/>
  <c r="I27" i="9"/>
  <c r="I24" i="9"/>
  <c r="I20" i="9"/>
  <c r="I12" i="11"/>
  <c r="I13" i="11"/>
  <c r="I14" i="11"/>
  <c r="I11" i="11"/>
  <c r="I10" i="11"/>
  <c r="C24" i="11"/>
  <c r="G29" i="11"/>
  <c r="G27" i="11"/>
  <c r="C27" i="11"/>
  <c r="G7" i="11"/>
  <c r="L8" i="2"/>
  <c r="L9" i="2"/>
  <c r="L10" i="2"/>
  <c r="L11" i="2"/>
  <c r="L7" i="2"/>
  <c r="C8" i="8"/>
  <c r="D46" i="7"/>
  <c r="D53" i="7" s="1" a="1"/>
  <c r="D33" i="7"/>
  <c r="D23" i="7"/>
  <c r="E65" i="7" s="1"/>
  <c r="D22" i="7"/>
  <c r="E64" i="7" s="1"/>
  <c r="D21" i="7"/>
  <c r="E63" i="7" s="1"/>
  <c r="D20" i="7"/>
  <c r="G14" i="7"/>
  <c r="F14" i="7"/>
  <c r="D28" i="6"/>
  <c r="D24" i="6"/>
  <c r="D23" i="6"/>
  <c r="D25" i="6" s="1"/>
  <c r="D19" i="6"/>
  <c r="D21" i="6" s="1"/>
  <c r="D26" i="6" s="1"/>
  <c r="Q10" i="3"/>
  <c r="Q11" i="3"/>
  <c r="Q12" i="3"/>
  <c r="Q13" i="3"/>
  <c r="Q9" i="3"/>
  <c r="O10" i="3"/>
  <c r="P10" i="3" s="1"/>
  <c r="O11" i="3"/>
  <c r="P11" i="3" s="1"/>
  <c r="R11" i="3" s="1"/>
  <c r="O12" i="3"/>
  <c r="P12" i="3" s="1"/>
  <c r="R12" i="3" s="1"/>
  <c r="O13" i="3"/>
  <c r="P13" i="3" s="1"/>
  <c r="R13" i="3" s="1"/>
  <c r="O9" i="3"/>
  <c r="P9" i="3" s="1"/>
  <c r="F8" i="2"/>
  <c r="F9" i="2"/>
  <c r="F10" i="2"/>
  <c r="F11" i="2"/>
  <c r="F7" i="2"/>
  <c r="G7" i="2"/>
  <c r="G8" i="2"/>
  <c r="K8" i="2" s="1"/>
  <c r="G9" i="2"/>
  <c r="K9" i="2" s="1"/>
  <c r="G10" i="2"/>
  <c r="K10" i="2" s="1"/>
  <c r="G11" i="2"/>
  <c r="K11" i="2" s="1"/>
  <c r="D14" i="2"/>
  <c r="R9" i="3" l="1"/>
  <c r="D33" i="14"/>
  <c r="B46" i="9"/>
  <c r="C46" i="9"/>
  <c r="D31" i="14"/>
  <c r="D57" i="14"/>
  <c r="D59" i="14" s="1"/>
  <c r="D61" i="14" s="1"/>
  <c r="E58" i="13"/>
  <c r="B29" i="14"/>
  <c r="B13" i="14"/>
  <c r="D78" i="14"/>
  <c r="D79" i="14"/>
  <c r="D81" i="14" s="1"/>
  <c r="D83" i="14" s="1"/>
  <c r="D85" i="14" s="1"/>
  <c r="C7" i="13"/>
  <c r="B8" i="13" s="1"/>
  <c r="D7" i="13"/>
  <c r="H25" i="9"/>
  <c r="G26" i="9" s="1"/>
  <c r="H26" i="9"/>
  <c r="G27" i="9" s="1"/>
  <c r="H27" i="9"/>
  <c r="G28" i="9" s="1"/>
  <c r="H28" i="9"/>
  <c r="G29" i="9" s="1"/>
  <c r="H29" i="9"/>
  <c r="G30" i="9" s="1"/>
  <c r="H30" i="9"/>
  <c r="G31" i="9" s="1"/>
  <c r="H31" i="9"/>
  <c r="G32" i="9" s="1"/>
  <c r="H32" i="9"/>
  <c r="G33" i="9" s="1"/>
  <c r="H33" i="9"/>
  <c r="G34" i="9" s="1"/>
  <c r="H34" i="9"/>
  <c r="H24" i="9"/>
  <c r="G25" i="9" s="1"/>
  <c r="I28" i="9"/>
  <c r="I29" i="9"/>
  <c r="I30" i="9"/>
  <c r="I31" i="9"/>
  <c r="I32" i="9"/>
  <c r="I33" i="9"/>
  <c r="I34" i="9"/>
  <c r="C30" i="11"/>
  <c r="I15" i="11"/>
  <c r="G6" i="11"/>
  <c r="G30" i="11"/>
  <c r="D51" i="7"/>
  <c r="D49" i="7"/>
  <c r="D47" i="7"/>
  <c r="D48" i="7" s="1"/>
  <c r="D50" i="7" s="1"/>
  <c r="D52" i="7" s="1"/>
  <c r="E62" i="7"/>
  <c r="E66" i="7" s="1"/>
  <c r="D24" i="7"/>
  <c r="D27" i="6"/>
  <c r="D29" i="6" s="1"/>
  <c r="R10" i="3"/>
  <c r="P15" i="3"/>
  <c r="I8" i="2"/>
  <c r="M8" i="2" s="1"/>
  <c r="I9" i="2"/>
  <c r="M9" i="2" s="1"/>
  <c r="I10" i="2"/>
  <c r="M10" i="2" s="1"/>
  <c r="I11" i="2"/>
  <c r="M11" i="2" s="1"/>
  <c r="I7" i="2"/>
  <c r="K7" i="2"/>
  <c r="D38" i="14" l="1"/>
  <c r="B47" i="9"/>
  <c r="C47" i="9"/>
  <c r="B36" i="14"/>
  <c r="B38" i="14"/>
  <c r="B30" i="14"/>
  <c r="B33" i="14"/>
  <c r="B37" i="14"/>
  <c r="B31" i="14"/>
  <c r="B32" i="14"/>
  <c r="B34" i="14"/>
  <c r="B35" i="14"/>
  <c r="C8" i="13"/>
  <c r="B9" i="13" s="1"/>
  <c r="D9" i="13" s="1"/>
  <c r="D8" i="13"/>
  <c r="D11" i="13" s="1"/>
  <c r="D15" i="13" s="1"/>
  <c r="E14" i="13" s="1"/>
  <c r="C31" i="11"/>
  <c r="C32" i="11" s="1"/>
  <c r="E18" i="11" s="1"/>
  <c r="C54" i="7"/>
  <c r="D54" i="7"/>
  <c r="D57" i="7" s="1"/>
  <c r="D25" i="7"/>
  <c r="D26" i="7"/>
  <c r="D27" i="7"/>
  <c r="D30" i="6"/>
  <c r="D31" i="6" s="1"/>
  <c r="Q15" i="3"/>
  <c r="R15" i="3"/>
  <c r="D17" i="2"/>
  <c r="M7" i="2"/>
  <c r="D15" i="2" s="1"/>
  <c r="D16" i="2"/>
  <c r="B48" i="9" l="1"/>
  <c r="C48" i="9"/>
  <c r="D28" i="7"/>
  <c r="B49" i="9" l="1"/>
  <c r="C49" i="9"/>
  <c r="D69" i="7"/>
  <c r="D32" i="7"/>
  <c r="D34" i="7" s="1"/>
  <c r="B50" i="9" l="1"/>
  <c r="C50" i="9"/>
  <c r="D35" i="7"/>
  <c r="D36" i="7" s="1"/>
  <c r="D37" i="7"/>
  <c r="D39" i="7"/>
  <c r="D41" i="7" a="1"/>
  <c r="B51" i="9" l="1"/>
  <c r="C51" i="9"/>
  <c r="D38" i="7"/>
  <c r="D40" i="7" s="1"/>
  <c r="B52" i="9" l="1"/>
  <c r="C52" i="9"/>
  <c r="D42" i="7"/>
  <c r="D56" i="7" s="1"/>
  <c r="D58" i="7" s="1"/>
  <c r="D68" i="7" s="1"/>
  <c r="E67" i="7" s="1"/>
  <c r="E70" i="7" s="1"/>
  <c r="C42" i="7"/>
  <c r="B53" i="9" l="1"/>
  <c r="C5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8" authorId="0" shapeId="0" xr:uid="{B038F6EE-057C-4A43-B56A-D5EEFE80ED49}">
      <text>
        <r>
          <rPr>
            <b/>
            <sz val="9"/>
            <color indexed="81"/>
            <rFont val="Tahoma"/>
            <family val="2"/>
          </rPr>
          <t>Artículo 61 LFT.- La duración de la jornada diaria será de ocho horas la diurna, siete la nocturna y siete horas y media la mixta.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C MM</author>
    <author>user</author>
  </authors>
  <commentList>
    <comment ref="B4" authorId="0" shapeId="0" xr:uid="{38035CE8-25EC-4E28-B5A9-C0B289A98DC5}">
      <text>
        <r>
          <rPr>
            <b/>
            <sz val="9"/>
            <color indexed="10"/>
            <rFont val="Tahoma"/>
            <family val="2"/>
          </rPr>
          <t>Guía de llenado del CFDI de nómina (página 6)</t>
        </r>
        <r>
          <rPr>
            <b/>
            <sz val="9"/>
            <color indexed="81"/>
            <rFont val="Tahoma"/>
            <family val="2"/>
          </rPr>
          <t xml:space="preserve">
Es la fecha y hora de expedición del comprobante fiscal. Se expresa en la forma AAAA-MM-DDThh:mm:ss y debe corresponder con la hora local donde se expide el comprobante. 
Este dato lo integra el sistema que utiliza el ontribuyente para la emisión del comprobante fiscal</t>
        </r>
      </text>
    </comment>
    <comment ref="I4" authorId="0" shapeId="0" xr:uid="{D14D2D2B-D460-4502-BEF9-E30742AD7ECA}">
      <text>
        <r>
          <rPr>
            <b/>
            <sz val="9"/>
            <color indexed="81"/>
            <rFont val="Tahoma"/>
            <family val="2"/>
          </rPr>
          <t>Guía de llenado del CFDI de nómina (página 13)
Se debe registrar la clave del Registro Federal de Contribuyentes del receptor (persona física) del comprobante.
La clave en el RFC debe estar contenida en la lista de RFC (I_RFC) inscritos no cancelados en el SAT. Debe ser de una persona física. La clave en el RFC debe ser correcta y corresponder a una persona efectivamente registrada en el SAT esto se validará por el SAT o proveedor de certificación de CFDI-, por lo que es muy importante validar las claves en el RFC de los trabajadores previamente a la generación del CFDI, ver la sección de Introducción del documento en dónde existe una liga directa a la herramienta del SAT de validación.
Nota: En caso de que el trabajador ya haya fallecido, se deberá registrar en este campo el RFC genérico XAXX010101000, debiendo registrar la CURP del trabajador fallecido en el campo “Curp” del Nodo: Receptor del Complemento de Nómina.</t>
        </r>
      </text>
    </comment>
    <comment ref="B7" authorId="0" shapeId="0" xr:uid="{5386A0C0-5779-41CF-9237-FDF2C01D5949}">
      <text>
        <r>
          <rPr>
            <b/>
            <sz val="9"/>
            <color indexed="81"/>
            <rFont val="Tahoma"/>
            <family val="2"/>
          </rPr>
          <t>Guía de llenado del CFDI de nómina (página 9)
Se debe registrar la clave PUE (Pago en una sola exhibición) del catálogo c_MetodoPago publicado en el Portal del SAT.
Ejemplo:
MetodoPago= PUE</t>
        </r>
      </text>
    </comment>
    <comment ref="E8" authorId="1" shapeId="0" xr:uid="{CB9B7269-FFAA-49BD-A0E5-4E16F45A4E70}">
      <text>
        <r>
          <rPr>
            <b/>
            <sz val="9"/>
            <color indexed="81"/>
            <rFont val="Tahoma"/>
            <family val="2"/>
          </rPr>
          <t>Atributo condicional para expresar el número de operación proporcionado por el SAT cuando se trate de un comprobante a través de un PCECFDI o un PCGCFDISP.</t>
        </r>
      </text>
    </comment>
    <comment ref="B9" authorId="0" shapeId="0" xr:uid="{EFF03640-EC0E-46F4-9638-E67F824BE09B}">
      <text>
        <r>
          <rPr>
            <b/>
            <sz val="9"/>
            <color indexed="10"/>
            <rFont val="Tahoma"/>
            <family val="2"/>
          </rPr>
          <t>Guía de llenado CFDI nómina (página 7)</t>
        </r>
        <r>
          <rPr>
            <b/>
            <sz val="9"/>
            <color indexed="81"/>
            <rFont val="Tahoma"/>
            <family val="2"/>
          </rPr>
          <t xml:space="preserve">
Se debe registrar el valor “MXN”.
Ejemplo:
Moneda= MXN
</t>
        </r>
      </text>
    </comment>
    <comment ref="I10" authorId="0" shapeId="0" xr:uid="{1E5C4491-D400-4967-AB90-E6E1F0538CCB}">
      <text>
        <r>
          <rPr>
            <b/>
            <sz val="9"/>
            <color indexed="10"/>
            <rFont val="Tahoma"/>
            <family val="2"/>
          </rPr>
          <t>Guía de llenado del CFDI de nómina (página 15)</t>
        </r>
        <r>
          <rPr>
            <b/>
            <sz val="9"/>
            <color indexed="81"/>
            <rFont val="Tahoma"/>
            <family val="2"/>
          </rPr>
          <t xml:space="preserve">
Se debe registrar la clave “CN01” (Nómina) del catálogo c_UsoCFDI publicado en el Portal del SAT.</t>
        </r>
      </text>
    </comment>
    <comment ref="B13" authorId="0" shapeId="0" xr:uid="{5CA9D4ED-F2EF-46EF-9CDF-77BAAB7EB34E}">
      <text>
        <r>
          <rPr>
            <b/>
            <sz val="9"/>
            <color indexed="81"/>
            <rFont val="Tahoma"/>
            <family val="2"/>
          </rPr>
          <t>Guia de llenado del SAT CFDI de nómina (página 9)
Se debe registrar la clave “01” (No aplica).</t>
        </r>
      </text>
    </comment>
    <comment ref="B14" authorId="0" shapeId="0" xr:uid="{0942A266-62EB-46B5-9F96-31833ABE6CD7}">
      <text>
        <r>
          <rPr>
            <b/>
            <sz val="9"/>
            <color indexed="10"/>
            <rFont val="Tahoma"/>
            <family val="2"/>
          </rPr>
          <t>Guía de llenado del CFDI de nómina (página 9)</t>
        </r>
        <r>
          <rPr>
            <b/>
            <sz val="9"/>
            <color indexed="81"/>
            <rFont val="Tahoma"/>
            <family val="2"/>
          </rPr>
          <t xml:space="preserve">
Se debe registrar la clave “N” (Nómina) con la que se identifica el tipo de comprobante fiscal para el contribuyente emisor.
Ejemplo:
TipoDeComprobante= N</t>
        </r>
      </text>
    </comment>
    <comment ref="B17" authorId="1" shapeId="0" xr:uid="{35B8A44C-A1BF-4B03-A11A-659D8E8BC0C9}">
      <text>
        <r>
          <rPr>
            <b/>
            <sz val="9"/>
            <color indexed="81"/>
            <rFont val="Tahoma"/>
            <family val="2"/>
          </rPr>
          <t>Atributo requerido para indicar la clave de la relación que existe entre éste que se está generando y el o los CFDI previos</t>
        </r>
      </text>
    </comment>
    <comment ref="E17" authorId="1" shapeId="0" xr:uid="{6E493203-FEE4-411A-9D7E-C87FDBD9BDA5}">
      <text>
        <r>
          <rPr>
            <b/>
            <sz val="9"/>
            <color indexed="81"/>
            <rFont val="Tahoma"/>
            <family val="2"/>
          </rPr>
          <t>Atributo requerido para registrar el folio fiscal (UUID) de un CFDI relacionado con el presente comprobante, por ejemplo: Si el CFDI relacionado es un comprobante de traslado que sirve para registrar el movimiento de la mercancía. Si este comprobante se usa como nota de crédito o nota de débito 
del comprobante relacionado. Si este comprobante es una devolución sobre el comprobante relacionado. Si éste sustituye a una factura cancelada.</t>
        </r>
      </text>
    </comment>
    <comment ref="B20" authorId="1" shapeId="0" xr:uid="{EA7BC5F9-4565-4083-8D49-FAB20CA98A96}">
      <text>
        <r>
          <rPr>
            <b/>
            <sz val="9"/>
            <color indexed="10"/>
            <rFont val="Tahoma"/>
            <family val="2"/>
          </rPr>
          <t>Guía de llenado del CFDI de nómina (página 16)</t>
        </r>
        <r>
          <rPr>
            <b/>
            <sz val="9"/>
            <color indexed="81"/>
            <rFont val="Tahoma"/>
            <family val="2"/>
          </rPr>
          <t xml:space="preserve">
Se debe registrar el valor “84111505”.
Ejemplo: 
ClaveProdServ= 84111505
</t>
        </r>
      </text>
    </comment>
    <comment ref="I20" authorId="0" shapeId="0" xr:uid="{45ED8483-F042-4DB4-839F-8CE361D1E521}">
      <text>
        <r>
          <rPr>
            <b/>
            <sz val="9"/>
            <color indexed="10"/>
            <rFont val="Tahoma"/>
            <family val="2"/>
          </rPr>
          <t>Guía de llenado CFDI de nómina (página 16)</t>
        </r>
        <r>
          <rPr>
            <b/>
            <sz val="9"/>
            <color indexed="81"/>
            <rFont val="Tahoma"/>
            <family val="2"/>
          </rPr>
          <t xml:space="preserve">
Se debe registrar la clave “ACT”.
Ejemplo:
ClaveUnidad= AC</t>
        </r>
      </text>
    </comment>
    <comment ref="B22" authorId="2" shapeId="0" xr:uid="{00F519E3-C3B0-4607-870B-4C00B705C15F}">
      <text>
        <r>
          <rPr>
            <b/>
            <sz val="9"/>
            <color indexed="81"/>
            <rFont val="Tahoma"/>
            <family val="2"/>
          </rPr>
          <t>Concepto de unidad de medida a utilizar en los CFDI
2.7.1.25. Para los efectos del artículo 29-A, fracción V, primer párrafo del CFF, los contribuyentes podrán señalar en los CFDI que emitan, la unidad de medida que utilicen conforme a los usos mercantiles.
 Asimismo, se deberá registrar la unidad de medida que corresponda con la Clave Unidad del Catálogo “Clave Unidad” señalada en el Anexo 20, en caso de que no se encuentre la clave específica de la unidad de medida que se utilizó conforme a los usos mercantiles los contribuyentes podrán señalar la clave que más se acerque o se asemeje.
 CFF 29-A</t>
        </r>
      </text>
    </comment>
    <comment ref="E22" authorId="0" shapeId="0" xr:uid="{A6A05210-0A1A-4677-9B14-3DF90D769CC8}">
      <text>
        <r>
          <rPr>
            <b/>
            <sz val="9"/>
            <color indexed="10"/>
            <rFont val="Tahoma"/>
            <family val="2"/>
          </rPr>
          <t>Guía de llenado CFDI de nómina (página 16)</t>
        </r>
        <r>
          <rPr>
            <b/>
            <sz val="9"/>
            <color indexed="81"/>
            <rFont val="Tahoma"/>
            <family val="2"/>
          </rPr>
          <t xml:space="preserve">
Se debe registrar el valor “1”.
Ejemplo:
Cantidad= 1</t>
        </r>
      </text>
    </comment>
    <comment ref="I22" authorId="0" shapeId="0" xr:uid="{702E7235-1DE8-4F6A-957A-E40C1D5F58F9}">
      <text>
        <r>
          <rPr>
            <b/>
            <sz val="9"/>
            <color indexed="10"/>
            <rFont val="Tahoma"/>
            <family val="2"/>
          </rPr>
          <t>Guía de llenado CFDI de nómina (página 17)</t>
        </r>
        <r>
          <rPr>
            <b/>
            <sz val="9"/>
            <color indexed="81"/>
            <rFont val="Tahoma"/>
            <family val="2"/>
          </rPr>
          <t xml:space="preserve">
Se debe registrar la suma de los campos TotalPercepciones más TotalOtrosPagos del Complemento Nómina.</t>
        </r>
      </text>
    </comment>
    <comment ref="B24" authorId="0" shapeId="0" xr:uid="{E970E19C-C64B-48E1-8A6C-C996D0D98A4B}">
      <text>
        <r>
          <rPr>
            <b/>
            <sz val="9"/>
            <color indexed="10"/>
            <rFont val="Tahoma"/>
            <family val="2"/>
          </rPr>
          <t>Guía de llenado CFDI de nómina (página 17)</t>
        </r>
        <r>
          <rPr>
            <b/>
            <sz val="9"/>
            <color indexed="81"/>
            <rFont val="Tahoma"/>
            <family val="2"/>
          </rPr>
          <t xml:space="preserve">
Se debe registrar el valor “Pago de nómina”, este valor se debe registrar así, indistintamente de si trata de un rabajador asalariado o de un asimilado a salarios, toda vez que la información específica que denota si el comprobantecorresponde a un asalariado o asimilado a salarios se recisa dentro del complemento de nómina en los campos TipoContrato y TipoRegimen.
Ejemplo:
Descripcion= Pago de nómina</t>
        </r>
      </text>
    </comment>
    <comment ref="E24" authorId="0" shapeId="0" xr:uid="{BBBF2FE5-4240-4421-9B3B-B9DC8F00DCD1}">
      <text>
        <r>
          <rPr>
            <b/>
            <sz val="9"/>
            <color indexed="10"/>
            <rFont val="Tahoma"/>
            <family val="2"/>
          </rPr>
          <t>Guía de llenado CFDI de nómina (página 17)</t>
        </r>
        <r>
          <rPr>
            <b/>
            <sz val="9"/>
            <color indexed="81"/>
            <rFont val="Tahoma"/>
            <family val="2"/>
          </rPr>
          <t xml:space="preserve">
Se debe registrar la suma de los campos TotalPercepciones más TotalOtrosPagos del Complemento Nómina.</t>
        </r>
      </text>
    </comment>
    <comment ref="I24" authorId="0" shapeId="0" xr:uid="{010690CA-DDEA-445E-B8AA-3A915C2C9EB3}">
      <text>
        <r>
          <rPr>
            <b/>
            <sz val="9"/>
            <color indexed="10"/>
            <rFont val="Tahoma"/>
            <family val="2"/>
          </rPr>
          <t>Guía de llenado CFDI de nómina (página 17)</t>
        </r>
        <r>
          <rPr>
            <b/>
            <sz val="9"/>
            <color indexed="81"/>
            <rFont val="Tahoma"/>
            <family val="2"/>
          </rPr>
          <t xml:space="preserve">
Se debe registrar el valor del campo TotalDeducciones.</t>
        </r>
      </text>
    </comment>
    <comment ref="B26" authorId="0" shapeId="0" xr:uid="{8CD870BB-2FC5-43AF-9F3A-694FB2D6FC46}">
      <text>
        <r>
          <rPr>
            <b/>
            <sz val="9"/>
            <color indexed="10"/>
            <rFont val="Tahoma"/>
            <family val="2"/>
          </rPr>
          <t>Guía de llenado CFDI de nómina (página 17)</t>
        </r>
        <r>
          <rPr>
            <b/>
            <sz val="9"/>
            <color indexed="81"/>
            <rFont val="Tahoma"/>
            <family val="2"/>
          </rPr>
          <t xml:space="preserve">
Se debe registrar la clave “01” (No objeto de impuesto).
Ejemplo:
ObjetoImp= 01</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<sst xmlns="http://schemas.openxmlformats.org/spreadsheetml/2006/main" count="910" uniqueCount="659">
  <si>
    <t>Artículos 59, 61, 66-68 (Jornadas y Horas Extras) y 76-81 (Vacaciones) de la Ley Federal del Trabajo</t>
  </si>
  <si>
    <t>No.</t>
  </si>
  <si>
    <t>Nombre del Trabajador</t>
  </si>
  <si>
    <t>RFC</t>
  </si>
  <si>
    <t>Fecha de Ingreso</t>
  </si>
  <si>
    <t>Años Antigüedad</t>
  </si>
  <si>
    <t>Días Vacaciones LFT</t>
  </si>
  <si>
    <t>Días Tomados</t>
  </si>
  <si>
    <t>Días Pendientes</t>
  </si>
  <si>
    <t>Salario Diario</t>
  </si>
  <si>
    <t>Prima Vacacional 25%</t>
  </si>
  <si>
    <t>Próximo Aniversario</t>
  </si>
  <si>
    <t>Estatus</t>
  </si>
  <si>
    <t>Diurna</t>
  </si>
  <si>
    <t>Nocturna</t>
  </si>
  <si>
    <t>Mixta</t>
  </si>
  <si>
    <t>CÁLCULO DE HORAS EXTRAS - CONFORME A LA LFT VIGENTE</t>
  </si>
  <si>
    <t>Art. 66: Primeras 12 hrs/semana extras = pago doble (100% adicional) | Art. 68: Hrs extras que excedan = pago triple (200% adicional)</t>
  </si>
  <si>
    <t>Semana</t>
  </si>
  <si>
    <t>Fecha Inicio</t>
  </si>
  <si>
    <t>Fecha Fin</t>
  </si>
  <si>
    <t>Hrs Jornada Semanal</t>
  </si>
  <si>
    <t>Hrs Trabajadas Semana</t>
  </si>
  <si>
    <t>Total Hrs Extras</t>
  </si>
  <si>
    <t>Hrs Extras Dobles (hasta 12)</t>
  </si>
  <si>
    <t>Hrs Extras Triples (excedente)</t>
  </si>
  <si>
    <t>TABLAS DE REFERENCIA - LEY FEDERAL DEL TRABAJO (VIGENTE 2026)</t>
  </si>
  <si>
    <t>TABLA DE VACACIONES (Artículo 76 LFT)</t>
  </si>
  <si>
    <t>Años de Antigüedad</t>
  </si>
  <si>
    <t>Días de Vacaciones</t>
  </si>
  <si>
    <t>1 año</t>
  </si>
  <si>
    <t>2 años</t>
  </si>
  <si>
    <t>3 años</t>
  </si>
  <si>
    <t>4 años</t>
  </si>
  <si>
    <t>5 años</t>
  </si>
  <si>
    <t>6 a 10 años</t>
  </si>
  <si>
    <t>11 a 15 años</t>
  </si>
  <si>
    <t>16 a 20 años</t>
  </si>
  <si>
    <t>21 a 25 años</t>
  </si>
  <si>
    <t>26 a 30 años</t>
  </si>
  <si>
    <t>JORNADAS DE TRABAJO (Artículos 59-61 LFT)</t>
  </si>
  <si>
    <t>Tipo de Jornada</t>
  </si>
  <si>
    <t>Horario</t>
  </si>
  <si>
    <t>Duración Máxima Diaria</t>
  </si>
  <si>
    <t>Duración Máxima Semanal</t>
  </si>
  <si>
    <t>06:00 a 20:00 hrs</t>
  </si>
  <si>
    <t>8 horas</t>
  </si>
  <si>
    <t>40 horas</t>
  </si>
  <si>
    <t>20:00 a 06:00 hrs</t>
  </si>
  <si>
    <t>7 horas</t>
  </si>
  <si>
    <t>Combinada (nocturno &lt; 3.5 hrs)</t>
  </si>
  <si>
    <t>7.5 horas</t>
  </si>
  <si>
    <t>HORAS EXTRAS (Artículos 66-68 LFT)</t>
  </si>
  <si>
    <t>Concepto</t>
  </si>
  <si>
    <t>Límite</t>
  </si>
  <si>
    <t>Pago</t>
  </si>
  <si>
    <t>Fundamento</t>
  </si>
  <si>
    <t>Horas Extras Dobles</t>
  </si>
  <si>
    <t>Hasta 12 hrs/semana</t>
  </si>
  <si>
    <t>200% (el doble)</t>
  </si>
  <si>
    <t>Art. 66</t>
  </si>
  <si>
    <t>Horas Extras Triples</t>
  </si>
  <si>
    <t>Excedente de 12 hrs/semana</t>
  </si>
  <si>
    <t>300% (el triple)</t>
  </si>
  <si>
    <t>Art. 68</t>
  </si>
  <si>
    <t>Máximo diario</t>
  </si>
  <si>
    <t>Hasta 4 horas</t>
  </si>
  <si>
    <t>-</t>
  </si>
  <si>
    <t>Máximo días por semana</t>
  </si>
  <si>
    <t>4 días</t>
  </si>
  <si>
    <t>Límite absoluto diario</t>
  </si>
  <si>
    <t>12 horas (ordinaria + extra)</t>
  </si>
  <si>
    <t>PRIMA VACACIONAL (Artículo 80 LFT)</t>
  </si>
  <si>
    <t>Los trabajadores tendrán derecho a una prima no menor al 25% sobre los salarios que les correspondan durante el período de vacaciones.</t>
  </si>
  <si>
    <t>FÓRMULA: Prima Vacacional = Salario Diario × Días de Vacaciones × 25%</t>
  </si>
  <si>
    <t>NOTAS IMPORTANTES</t>
  </si>
  <si>
    <t>TOTALES</t>
  </si>
  <si>
    <t>RESUMEN</t>
  </si>
  <si>
    <t>Total de Trabajadores:</t>
  </si>
  <si>
    <t>Trabajadores con Vacaciones Pendientes:</t>
  </si>
  <si>
    <t>Total Días de Vacaciones Pendientes:</t>
  </si>
  <si>
    <t>Total Prima Vacacional a Pagar:</t>
  </si>
  <si>
    <r>
      <rPr>
        <b/>
        <sz val="11"/>
        <color theme="1"/>
        <rFont val="Aptos Narrow"/>
        <family val="2"/>
        <scheme val="minor"/>
      </rPr>
      <t>1</t>
    </r>
    <r>
      <rPr>
        <sz val="11"/>
        <color theme="1"/>
        <rFont val="Aptos Narrow"/>
        <family val="2"/>
        <scheme val="minor"/>
      </rPr>
      <t>. Las vacaciones deberán concederse dentro de los 6 meses siguientes al cumplimiento del año de servicios (Art. 81).</t>
    </r>
  </si>
  <si>
    <r>
      <rPr>
        <b/>
        <sz val="11"/>
        <color theme="1"/>
        <rFont val="Aptos Narrow"/>
        <family val="2"/>
        <scheme val="minor"/>
      </rPr>
      <t>2</t>
    </r>
    <r>
      <rPr>
        <sz val="11"/>
        <color theme="1"/>
        <rFont val="Aptos Narrow"/>
        <family val="2"/>
        <scheme val="minor"/>
      </rPr>
      <t>. Las vacaciones NO pueden compensarse con remuneración, deben disfrutarse (Art. 79).</t>
    </r>
  </si>
  <si>
    <r>
      <rPr>
        <b/>
        <sz val="11"/>
        <color theme="1"/>
        <rFont val="Aptos Narrow"/>
        <family val="2"/>
        <scheme val="minor"/>
      </rPr>
      <t>3.</t>
    </r>
    <r>
      <rPr>
        <sz val="11"/>
        <color theme="1"/>
        <rFont val="Aptos Narrow"/>
        <family val="2"/>
        <scheme val="minor"/>
      </rPr>
      <t xml:space="preserve"> La jornada semanal máxima es de 40 horas (Art. 59, reforma mayo 2026).</t>
    </r>
  </si>
  <si>
    <r>
      <rPr>
        <b/>
        <sz val="11"/>
        <color theme="1"/>
        <rFont val="Aptos Narrow"/>
        <family val="2"/>
        <scheme val="minor"/>
      </rPr>
      <t>4.</t>
    </r>
    <r>
      <rPr>
        <sz val="11"/>
        <color theme="1"/>
        <rFont val="Aptos Narrow"/>
        <family val="2"/>
        <scheme val="minor"/>
      </rPr>
      <t xml:space="preserve"> Las horas extras son voluntarias, el trabajador no está obligado a prestarlas (Art. 68).</t>
    </r>
  </si>
  <si>
    <r>
      <rPr>
        <b/>
        <sz val="11"/>
        <color theme="1"/>
        <rFont val="Aptos Narrow"/>
        <family val="2"/>
        <scheme val="minor"/>
      </rPr>
      <t>5</t>
    </r>
    <r>
      <rPr>
        <sz val="11"/>
        <color theme="1"/>
        <rFont val="Aptos Narrow"/>
        <family val="2"/>
        <scheme val="minor"/>
      </rPr>
      <t>. La suma de jornada ordinaria + extraordinaria NO puede exceder 12 horas diarias (Art. 68).</t>
    </r>
  </si>
  <si>
    <r>
      <rPr>
        <b/>
        <sz val="11"/>
        <color theme="1"/>
        <rFont val="Aptos Narrow"/>
        <family val="2"/>
        <scheme val="minor"/>
      </rPr>
      <t>6</t>
    </r>
    <r>
      <rPr>
        <sz val="11"/>
        <color theme="1"/>
        <rFont val="Aptos Narrow"/>
        <family val="2"/>
        <scheme val="minor"/>
      </rPr>
      <t>. Los trabajadores de temporada tienen derecho a vacaciones proporcionales (Art. 77).</t>
    </r>
  </si>
  <si>
    <t>CONTROL DE VACACIONES - CONFORME A LA LFT VIGENTE</t>
  </si>
  <si>
    <t>Tope de horas extras dobles</t>
  </si>
  <si>
    <t>L</t>
  </si>
  <si>
    <t>M</t>
  </si>
  <si>
    <t>J</t>
  </si>
  <si>
    <t>V</t>
  </si>
  <si>
    <t>S</t>
  </si>
  <si>
    <r>
      <rPr>
        <b/>
        <sz val="11"/>
        <color theme="1"/>
        <rFont val="Aptos Narrow"/>
        <family val="2"/>
        <scheme val="minor"/>
      </rPr>
      <t>Artículo 66 LFT</t>
    </r>
    <r>
      <rPr>
        <sz val="11"/>
        <color theme="1"/>
        <rFont val="Aptos Narrow"/>
        <family val="2"/>
        <scheme val="minor"/>
      </rPr>
      <t>.- La jornada de trabajo podrá prolongarse por circunstancias extraordinarias.
En estos casos, se abonará como salario por este tiempo un cien por ciento más de lo fijado para las horas ordinarias. El trabajo extraordinario no excederá de doce horas en una semana, las cuales podrán distribuirse en hasta cuatro horas diarias, en un máximo de cuatro días en ese periodo.</t>
    </r>
  </si>
  <si>
    <r>
      <rPr>
        <b/>
        <sz val="11"/>
        <color theme="1"/>
        <rFont val="Aptos Narrow"/>
        <family val="2"/>
        <scheme val="minor"/>
      </rPr>
      <t>Artículo 68 LFT</t>
    </r>
    <r>
      <rPr>
        <sz val="11"/>
        <color theme="1"/>
        <rFont val="Aptos Narrow"/>
        <family val="2"/>
        <scheme val="minor"/>
      </rPr>
      <t>.- Las personas trabajadoras no están obligadas a prestar sus servicios por un tiempo mayor del permitido en este capítulo.
La prolongación del tiempo extraordinario que supere lo establecido en el artículo 66 de esta Ley, no podrá ser mayor de cuatro horas a la semana y obliga a la persona empleadora a pagar un doscientos por ciento más del salario que corresponda a las horas de la jornada ordinaria.
La suma de las jornadas ordinaria y extraordinaria, en ningún caso podrá ser mayor a doce horas diarias.</t>
    </r>
  </si>
  <si>
    <t>Tipo de jornada</t>
  </si>
  <si>
    <t>Horas extras trabajadas</t>
  </si>
  <si>
    <t>48 horas</t>
  </si>
  <si>
    <t>c_TipoPercepcion</t>
  </si>
  <si>
    <t>Descripción</t>
  </si>
  <si>
    <t>Sueldos, Salarios  Rayas y Jornales</t>
  </si>
  <si>
    <t>Gratificación Anual (Aguinaldo)</t>
  </si>
  <si>
    <t>Participación de los Trabajadores en las Utilidades PTU</t>
  </si>
  <si>
    <t>Reembolso de Gastos Médicos Dentales y Hospitalarios</t>
  </si>
  <si>
    <t>Fondo de Ahorro</t>
  </si>
  <si>
    <t>Caja de ahorro</t>
  </si>
  <si>
    <t>Contribuciones a Cargo del Trabajador Pagadas por el Patrón</t>
  </si>
  <si>
    <t>Premios por puntualidad</t>
  </si>
  <si>
    <t>Prima de Seguro de vida</t>
  </si>
  <si>
    <t>Seguro de Gastos Médicos Mayores</t>
  </si>
  <si>
    <t>Cuotas Sindicales Pagadas por el Patrón</t>
  </si>
  <si>
    <t>Subsidios por incapacidad</t>
  </si>
  <si>
    <t>Becas para trabajadores y/o hijos</t>
  </si>
  <si>
    <t>Horas extra</t>
  </si>
  <si>
    <t>Prima dominical</t>
  </si>
  <si>
    <t>Prima vacacional</t>
  </si>
  <si>
    <t>Prima por antigüedad</t>
  </si>
  <si>
    <t>Pagos por separación</t>
  </si>
  <si>
    <t>Seguro de retiro</t>
  </si>
  <si>
    <t>Indemnizaciones</t>
  </si>
  <si>
    <t>Reembolso por funeral</t>
  </si>
  <si>
    <t>Cuotas de seguridad social pagadas por el patrón</t>
  </si>
  <si>
    <t>Comisiones</t>
  </si>
  <si>
    <t>Vales de despensa</t>
  </si>
  <si>
    <t>Vales de restaurante</t>
  </si>
  <si>
    <t>Vales de gasolina</t>
  </si>
  <si>
    <t>Vales de ropa</t>
  </si>
  <si>
    <t>Ayuda para renta</t>
  </si>
  <si>
    <t>Ayuda para artículos escolares</t>
  </si>
  <si>
    <t>Ayuda para anteojos</t>
  </si>
  <si>
    <t>Ayuda para transporte</t>
  </si>
  <si>
    <t>Ayuda para gastos de funeral</t>
  </si>
  <si>
    <t>Otros ingresos por salarios</t>
  </si>
  <si>
    <t>Jubilaciones, pensiones o haberes de retiro</t>
  </si>
  <si>
    <t>Jubilaciones, pensiones o haberes de retiro en parcialidades</t>
  </si>
  <si>
    <t>Ingresos en acciones o títulos valor que representan bienes</t>
  </si>
  <si>
    <t> 046</t>
  </si>
  <si>
    <t>Ingresos asimilados a salarios</t>
  </si>
  <si>
    <t> 047</t>
  </si>
  <si>
    <t>Habitación</t>
  </si>
  <si>
    <t>Premios por asistencia</t>
  </si>
  <si>
    <t>Viáticos</t>
  </si>
  <si>
    <t>Pagos por gratificaciones, primas, compensaciones, recompensas u otros a extrabajadores derivados de jubilación en parcialidades</t>
  </si>
  <si>
    <t>Pagos que se realicen a extrabajadores que obtengan una jubilación en parcialidades derivados de la ejecución de resoluciones judicial o de un laudo</t>
  </si>
  <si>
    <t>Pagos que se realicen a extrabajadores que obtengan una jubilación en una sola exhibición derivados de la ejecución de resoluciones judicial o de un laudo</t>
  </si>
  <si>
    <t>Días de descanso laborados</t>
  </si>
  <si>
    <t>Días de descanso obligatorios laborados</t>
  </si>
  <si>
    <t>Previsión social, Art 93 fracciones VIII y IX LISR</t>
  </si>
  <si>
    <t>Disposición</t>
  </si>
  <si>
    <t xml:space="preserve">Aguinaldo </t>
  </si>
  <si>
    <t>Los trabajadores tendrán derecho a un aguinaldo anual que deberá pagarse antes del día veinte de diciembre, equivalente a quince días de salario, por lo menos.
Los que no hayan cumplido el año de servicios, independientemente de que se encuentren laborando o no en la fecha de liquidación del aguinaldo, tendrán derecho a que se les pague la parte proporcional del mismo, conforme al tiempo que hubieren trabajado, cualquiera que fuere éste.</t>
  </si>
  <si>
    <t>Artículo 87 LFT</t>
  </si>
  <si>
    <t>Permiso de paternidad</t>
  </si>
  <si>
    <t>Otorgar permiso de paternidad de cinco días laborables con goce de sueldo, a los hombres trabajadores, por el nacimiento de sus hijos y de igual manera en el caso de la adopción de un infante</t>
  </si>
  <si>
    <t>Artículo 132 XXVII Bis LFT</t>
  </si>
  <si>
    <t>Maternidad pre y post natal</t>
  </si>
  <si>
    <t>Durante los períodos de descanso a que se refiere la fracción II, percibirán su salario íntegro. En los casos de prórroga mencionados en la fracción III, tendrán derecho al cincuenta por ciento de su salario por un período no mayor de sesenta días</t>
  </si>
  <si>
    <t>Artículo 170 fracción V LFT</t>
  </si>
  <si>
    <r>
      <rPr>
        <b/>
        <sz val="11"/>
        <color theme="1"/>
        <rFont val="Aptos Narrow"/>
        <family val="2"/>
        <scheme val="minor"/>
      </rPr>
      <t>Artículo 170 LFT</t>
    </r>
    <r>
      <rPr>
        <sz val="11"/>
        <color theme="1"/>
        <rFont val="Aptos Narrow"/>
        <family val="2"/>
        <scheme val="minor"/>
      </rPr>
      <t>.- Las madres trabajadoras tendrán los siguientes derechos:
Disfrutarán de un descanso de seis semanas anteriores y seis posteriores al parto. A solicitud expresa de la trabajadora, previa autorización escrita del médico de la institución de seguridad social que le corresponda o, en su caso, del servicio de salud que otorgue el patrón, tomando en cuenta la opinión del patrón y la naturaleza del trabajo que desempeñe, se podrá transferir hasta cuatro de las seis semanas de descanso previas al parto para después del mismo. En caso de que los hijos hayan nacido con cualquier tipo de discapacidad o requieran atención médica hospitalaria, el descanso podrá ser de hasta ocho semanas posteriores al parto, previa presentación del certificado médico correspondiente.
En caso de que se presente autorización de médicos particulares, ésta deberá contener el nombre y número de cédula profesional de quien los expida, la fecha y el estado médico de la trabajadora.</t>
    </r>
  </si>
  <si>
    <t>Artículo 170 fracción II LFT</t>
  </si>
  <si>
    <t>Riesgo de trabajo</t>
  </si>
  <si>
    <t>Riesgos de trabajos son los accidentes y enfermedades a que están expuestos los trabajadores en ejercicio o con motivo del trabajo.</t>
  </si>
  <si>
    <t>Artículo 473 LFT</t>
  </si>
  <si>
    <t>Incapacidad teporal</t>
  </si>
  <si>
    <t>Si el riesgo produce al trabajador una incapacidad temporal, la indemnización consistirá en el pago íntegro del salario que deje de percibir mientras subsista la imposibilidad de trabajar. Este pago se hará desde el primer día de la incapacidad.</t>
  </si>
  <si>
    <t>Artículo 491 primer párrafo LFT</t>
  </si>
  <si>
    <t>Fecha de ingreso</t>
  </si>
  <si>
    <t>Fecha de cálculo</t>
  </si>
  <si>
    <t>Faltas en el periodo que se pueden descontar del aguinaldo</t>
  </si>
  <si>
    <t>Salario diario</t>
  </si>
  <si>
    <t>Días de aguinaldo que se otorgan el tabajador</t>
  </si>
  <si>
    <t>Valor de la UMA</t>
  </si>
  <si>
    <t>Días de aguinaldo que otorga el patrón</t>
  </si>
  <si>
    <t>(/) Días del año</t>
  </si>
  <si>
    <t>(=) Factor de aguinaldo</t>
  </si>
  <si>
    <t>Días del año de cálculo para el aguinaldo</t>
  </si>
  <si>
    <t>(-) Faltas a descontar</t>
  </si>
  <si>
    <t>(=) Resultado</t>
  </si>
  <si>
    <t>(x) Factor</t>
  </si>
  <si>
    <t>(=) Días de aguinaldo que le corresponden</t>
  </si>
  <si>
    <t>(x) Salario diario</t>
  </si>
  <si>
    <t>(=) Aguinaldo o parte proporcional</t>
  </si>
  <si>
    <t>(-) Ingreso exento (art. 93 fracción XIII LISR)</t>
  </si>
  <si>
    <t>(=) Ingreso gravado para ISR</t>
  </si>
  <si>
    <t>Límite inferior</t>
  </si>
  <si>
    <t>Límite superior</t>
  </si>
  <si>
    <t>Cuota fija</t>
  </si>
  <si>
    <t>Por ciento para aplicarse sobre el excedente del límite inferior</t>
  </si>
  <si>
    <t>$</t>
  </si>
  <si>
    <t>%</t>
  </si>
  <si>
    <t>En adelante</t>
  </si>
  <si>
    <t>Determinación del subsidio al empleo</t>
  </si>
  <si>
    <t>Valor de la UMA mensual</t>
  </si>
  <si>
    <t>(-) Límite inferior</t>
  </si>
  <si>
    <t xml:space="preserve">(/) </t>
  </si>
  <si>
    <t>(=) Impuesto marginal</t>
  </si>
  <si>
    <t>(=) Subsidio al empleo del periodo</t>
  </si>
  <si>
    <t>(+) Cuota fija</t>
  </si>
  <si>
    <t>(=) ISR causado</t>
  </si>
  <si>
    <t>(=) ISR a retener</t>
  </si>
  <si>
    <t>Aguinaldo gravado</t>
  </si>
  <si>
    <t>(x) Tasa de ISR</t>
  </si>
  <si>
    <t>Para realizar los cálculo capture información solo en las celdas de color</t>
  </si>
  <si>
    <t>Cálculo de la retención de ISR de conformidad con el artículo 174 RLISR</t>
  </si>
  <si>
    <t>Tipo de régimen 02 sueldos y salarios</t>
  </si>
  <si>
    <t>Apendíce 6 guía del SAT</t>
  </si>
  <si>
    <t>Gravado</t>
  </si>
  <si>
    <t>Exento</t>
  </si>
  <si>
    <t>a</t>
  </si>
  <si>
    <t>Capture el sueldo mensual ordinario</t>
  </si>
  <si>
    <r>
      <rPr>
        <b/>
        <sz val="11"/>
        <color theme="1"/>
        <rFont val="Aptos Narrow"/>
        <family val="2"/>
        <scheme val="minor"/>
      </rPr>
      <t>Artículo 174 primer párrafo RLISR.</t>
    </r>
    <r>
      <rPr>
        <sz val="11"/>
        <color theme="1"/>
        <rFont val="Aptos Narrow"/>
        <family val="2"/>
        <scheme val="minor"/>
      </rPr>
      <t xml:space="preserve"> Tratándose de las remuneraciones por concepto de gratificación anual, participación de utilidades, primas dominicales y vacacionales a que se refiere el artículo 96 de la Ley, la persona que haga dichos pagos podrá optar por retener el Impuesto que corresponda conforme a lo siguiente:
I. La remuneración de que se trate se dividirá entre 365 y el resultado se multiplicará por 30.4;</t>
    </r>
  </si>
  <si>
    <t>(+) PTU gravada</t>
  </si>
  <si>
    <t>(+) Prima dominical gravada</t>
  </si>
  <si>
    <t>(+) Prima vacacional gravada</t>
  </si>
  <si>
    <t>(=) Total de remuneración gravada</t>
  </si>
  <si>
    <t>(/) Total de días del año</t>
  </si>
  <si>
    <t>(x) Días del mes a considerar</t>
  </si>
  <si>
    <t>(=) Resultado fracción I</t>
  </si>
  <si>
    <t>①</t>
  </si>
  <si>
    <t>II. A la cantidad que se obtenga conforme a la fracción anterior, se le adicionará el ingreso ordinario por la prestación de un servicio personal subordinado que perciba el trabajador en forma regular en el mes de que se trate y al resultado se le aplicará el procedimiento establecido en el artículo 96 de la Ley;</t>
  </si>
  <si>
    <t>Resultado fracción I</t>
  </si>
  <si>
    <t>(+) Sueldo mensual ordinario</t>
  </si>
  <si>
    <t>(=) Resultado fracción II</t>
  </si>
  <si>
    <t>(=) Excedente del límite inferior</t>
  </si>
  <si>
    <t>(x) % del excedente del límite inferior</t>
  </si>
  <si>
    <t>(-) Subsidio al empleo causado</t>
  </si>
  <si>
    <t>②</t>
  </si>
  <si>
    <t>III. El Impuesto que se obtenga conforme a la fracción anterior se disminuirá con el Impuesto que correspondería al ingreso ordinario por la prestación de un servicio personal subordinado a que se refiere dicha fracción, calculando este último sin considerar las demás remuneraciones mencionadas en este artículo;</t>
  </si>
  <si>
    <t>Sueldo mensual ordinario</t>
  </si>
  <si>
    <t>③</t>
  </si>
  <si>
    <t>ISR fracción II</t>
  </si>
  <si>
    <t>(-) ISR fracción III</t>
  </si>
  <si>
    <t>(=) Resultado III</t>
  </si>
  <si>
    <t>④</t>
  </si>
  <si>
    <t>IV. El Impuesto a retener será el que resulte de aplicar a las remuneraciones a que se refiere este artículo, sin deducción alguna, la tasa a que se refiere la fracción siguiente, y
V. La tasa a que se refiere la fracción anterior, se calculará dividiendo el Impuesto que se determine en términos de la fracción III de este artículo entre la cantidad que resulte conforme a la fracción I de dicho artículo. El cociente se multiplicará por cien y el producto se expresará en por ciento.</t>
  </si>
  <si>
    <t>Resultado III</t>
  </si>
  <si>
    <t>(/) Resultado I</t>
  </si>
  <si>
    <t>Capture la contraseña para trabajar con el libro</t>
  </si>
  <si>
    <t>CAFICON</t>
  </si>
  <si>
    <t>V.</t>
  </si>
  <si>
    <t>V. Tarifa aplicable durante 2026 para el cálculo de los pagos provisionales mensuales a que se refieren los artículos 96 de la Ley del ISR y 175 de su Reglamento, así como la regla 3.12.2.</t>
  </si>
  <si>
    <t>Para el TipoRegimen “002-Sueldos”</t>
  </si>
  <si>
    <t>Para el TipoRegimen “003- Jubilados”, “004-Pensionados” y “012- Jubilados o Pensionados”, específicamente para los casos de Jubilación en una sola exhibición</t>
  </si>
  <si>
    <t>Para el TipoRegimen “003- Jubilados”, “004-Pensionados” y “012- Jubilados o Pensionados”, específicamente para los casos de Jubilación en parcialidades</t>
  </si>
  <si>
    <t>Para el TipoRegimen “05-Asimilados Miembros Sociedades Cooperativas Produccion”, “06-Asimilados Integrantes Sociedades Asociaciones Civiles”, “07-Asimilados Miembros consejos”, “08-Asimilados comisionistas”, “09- Asimilados Honorarios”, “10-Asimilados acciones” y “11-Asimilados otros”</t>
  </si>
  <si>
    <t>Para el TipoRegimen “13- Indemnización o Separación”</t>
  </si>
  <si>
    <t>Ir al MENÚ</t>
  </si>
  <si>
    <r>
      <rPr>
        <b/>
        <sz val="11"/>
        <color theme="1"/>
        <rFont val="Aptos Narrow"/>
        <family val="2"/>
        <scheme val="minor"/>
      </rPr>
      <t xml:space="preserve">Artículo 94 LISR. </t>
    </r>
    <r>
      <rPr>
        <sz val="11"/>
        <color theme="1"/>
        <rFont val="Aptos Narrow"/>
        <family val="2"/>
        <scheme val="minor"/>
      </rPr>
      <t xml:space="preserve">Se consideran ingresos por la prestación de un servicio personal subordinado, los salarios y demás prestaciones que deriven de una relación laboral, incluyendo la participación de los trabajadores en las utilidades de las empresas y las prestaciones percibidas como consecuencia de la terminación de la relación laboral. </t>
    </r>
  </si>
  <si>
    <r>
      <rPr>
        <b/>
        <sz val="11"/>
        <color theme="1"/>
        <rFont val="Aptos Narrow"/>
        <family val="2"/>
        <scheme val="minor"/>
      </rPr>
      <t>Decreto subsidio al empleo</t>
    </r>
    <r>
      <rPr>
        <b/>
        <sz val="11"/>
        <color rgb="FFC00000"/>
        <rFont val="Aptos Narrow"/>
        <family val="2"/>
        <scheme val="minor"/>
      </rPr>
      <t xml:space="preserve">
</t>
    </r>
    <r>
      <rPr>
        <b/>
        <sz val="11"/>
        <color theme="1"/>
        <rFont val="Aptos Narrow"/>
        <family val="2"/>
        <scheme val="minor"/>
      </rPr>
      <t xml:space="preserve">Artículo Primero. </t>
    </r>
    <r>
      <rPr>
        <sz val="11"/>
        <color theme="1"/>
        <rFont val="Aptos Narrow"/>
        <family val="2"/>
        <scheme val="minor"/>
      </rPr>
      <t>Los trabajadores a que se refiere el artículo 94, primer párrafo y fracción I, de la Ley del Impuesto sobre la Renta, podrán gozar del subsidio para el empleo establecido en el presente decreto en lugar del subsidio para el empleo a que se refiere el Artículo Décimo del "Decreto por el que se reforman, adicionan y derogan diversas disposiciones de la Ley del Impuesto al Valor Agregado; de la Ley del Impuesto Especial sobre Producción y Servicios; de la Ley Federal de Derechos, se expide la Ley del Impuesto sobre la Renta, y se abrogan la Ley del Impuesto Empresarial a Tasa Única, y la Ley del Impuesto a los Depósitos en Efectivo", publicado en el Diario Oficial de la Federación el 11 de diciembre de 2013.</t>
    </r>
  </si>
  <si>
    <r>
      <rPr>
        <b/>
        <sz val="11"/>
        <color theme="1"/>
        <rFont val="Aptos Narrow"/>
        <family val="2"/>
        <scheme val="minor"/>
      </rPr>
      <t>Artículo 84 LFT.-</t>
    </r>
    <r>
      <rPr>
        <b/>
        <sz val="11"/>
        <color rgb="FFC00000"/>
        <rFont val="Aptos Narrow"/>
        <family val="2"/>
        <scheme val="minor"/>
      </rPr>
      <t xml:space="preserve"> </t>
    </r>
    <r>
      <rPr>
        <sz val="11"/>
        <color theme="1"/>
        <rFont val="Aptos Narrow"/>
        <family val="2"/>
        <scheme val="minor"/>
      </rPr>
      <t>El salario se integra con los pagos hechos en efectivo por cuota diaria, gratificaciones, percepciones, habitación, primas, comisiones, prestaciones en especie y cualquiera otra cantidad o prestación que se entregue al trabajador por su trabajo.</t>
    </r>
  </si>
  <si>
    <t>PERCEPCIONES</t>
  </si>
  <si>
    <t>DEDUCCIONES</t>
  </si>
  <si>
    <t>Tipo de percepción</t>
  </si>
  <si>
    <t>Gravado/ Exento</t>
  </si>
  <si>
    <t>Límite de exentos</t>
  </si>
  <si>
    <t>Tipo Deducción</t>
  </si>
  <si>
    <t>ISR</t>
  </si>
  <si>
    <t>XIV.	Las gratificaciones que reciban los trabajadores de sus patrones, durante un año de calendario, hasta el equivalente del salario mínimo general del área geográfica del trabajador elevado a 30 días, cuando dichas gratificaciones se otorguen en forma general; así como las primas vacacionales que otorguen los patrones durante el año de calendario a sus trabajadores en forma general y la participación de los trabajadores en las utilidades de las empresas, hasta por el equivalente a 15 días de salario mínimo general del área geográfica del trabajador, por cada uno de los conceptos señalados. Tratándose de primas dominicales hasta por el equivalente de un salario mínimo general del área geográfica del trabajador por cada domingo que se labore.</t>
  </si>
  <si>
    <t>Gravado y Exento</t>
  </si>
  <si>
    <t>30 UMA's
Art. 93 fr. XIV de la LISR</t>
  </si>
  <si>
    <t>Descuento por incapacidad</t>
  </si>
  <si>
    <t>15 UMA's
Art. 93 fr. XIV de la LISR</t>
  </si>
  <si>
    <t>Anticipo de salarios</t>
  </si>
  <si>
    <t>Ausencia (Ausentismo)</t>
  </si>
  <si>
    <t>Pagos hechos con exceso al trabajador</t>
  </si>
  <si>
    <t>Ajuste en Gratificación Anual (Aguinaldo) Exento</t>
  </si>
  <si>
    <t>Ajuste en Gratificación Anual (Aguinaldo) Gravado</t>
  </si>
  <si>
    <t>Ajuste en Participación de los Trabajadores en las Utilidades PTU Exento</t>
  </si>
  <si>
    <t>Ajuste en Participación de los Trabajadores en las Utilidades PTU Gravado</t>
  </si>
  <si>
    <t>Ajuste en Reembolso de Gastos Médicos Dentales y Hospitalarios Exento</t>
  </si>
  <si>
    <t>Ajuste en Fondo de ahorro Exento</t>
  </si>
  <si>
    <t>Ajuste en Caja de ahorro Exento</t>
  </si>
  <si>
    <t>I. Las prestaciones distintas del salario que reciban los trabajadores del salario mínimo general para una o varias áreas geográficas, calculadas sobre la base de dicho salario, cuando no excedan de los mínimos señalados por la legislación laboral, así como las remuneraciones por concepto de tiempo extraordinario o de prestación de servicios que se realice en los días de descanso sin disfrutar de otros en sustitución, hasta el límite establecido en la legislación laboral, que perciban dichos trabajadores. Tratándose de los demás trabajadores, el 50% de las remuneraciones por concepto de tiempo extraordinario o de la prestación de servicios que se realice en los días de descanso sin disfrutar de otros en sustitución, que no exceda el límite previsto en la legislación laboral y sin que esta exención exceda del equivalente de cinco veces el salario mínimo general del área geográfica del trabajador por cada semana de servicios.</t>
  </si>
  <si>
    <t>5 UMA's por cada semana de servicios
Art. 93 fr. I de la LISR</t>
  </si>
  <si>
    <t>Ajuste en Contribuciones a Cargo del Trabajador Pagadas por el Patrón Exento</t>
  </si>
  <si>
    <t>1 UMA por cada domingo laborado
hasta 52 UMA'S
Art. 93 fr. I de la LISR</t>
  </si>
  <si>
    <t>Ajuste en Premios por puntualidad Gravado</t>
  </si>
  <si>
    <t>Ajuste en Prima de Seguro de vida Exento</t>
  </si>
  <si>
    <t>Ajuste en Seguro de Gastos Médicos Mayores Exento</t>
  </si>
  <si>
    <t>Ajuste en Cuotas Sindicales Pagadas por el Patrón Gravado</t>
  </si>
  <si>
    <t>Ajuste en Subsidios por incapacidad Exento</t>
  </si>
  <si>
    <t>Ajuste en Becas para trabajadores y/o hijos Exento</t>
  </si>
  <si>
    <t>Ajuste en Horas extra Exento</t>
  </si>
  <si>
    <t>Ajuste en Horas extra Gravado</t>
  </si>
  <si>
    <t>Ajuste en Prima dominical Exento</t>
  </si>
  <si>
    <t>Ajuste en Prima dominical Gravado</t>
  </si>
  <si>
    <t>Ajuste en Prima vacacional Exento</t>
  </si>
  <si>
    <t>Ajuste en Prima vacacional Gravado</t>
  </si>
  <si>
    <t>Ajuste en Seguro de retiro Exento</t>
  </si>
  <si>
    <t>Ajuste en Reembolso por funeral Exento</t>
  </si>
  <si>
    <t>Ajuste en Cuotas de seguridad social pagadas por el patrón Exento</t>
  </si>
  <si>
    <t>Ajuste en Comisiones Gravado</t>
  </si>
  <si>
    <r>
      <t xml:space="preserve">Alimentación </t>
    </r>
    <r>
      <rPr>
        <sz val="11"/>
        <color indexed="8"/>
        <rFont val="Arial"/>
        <family val="2"/>
      </rPr>
      <t>diferentes a los establecidos en el Art 94 penúltimo párrafo LISR</t>
    </r>
  </si>
  <si>
    <t>Ajuste en Vales de despensa Exento</t>
  </si>
  <si>
    <t>Ajuste en Vales de restaurante Exento</t>
  </si>
  <si>
    <t>Ajuste en Vales de gasolina Exento</t>
  </si>
  <si>
    <t>Ajuste en Vales de ropa Exento</t>
  </si>
  <si>
    <t>Ajuste en Ayuda para renta Exento</t>
  </si>
  <si>
    <t>Ajuste en Ayuda para artículos escolares Exento</t>
  </si>
  <si>
    <t>Ajuste en Ayuda para anteojos Exento</t>
  </si>
  <si>
    <t>Ajuste en Ayuda para transporte Exento</t>
  </si>
  <si>
    <t>Ajuste en Ayuda para gastos de funeral Exento</t>
  </si>
  <si>
    <t>OTROS PAGOS</t>
  </si>
  <si>
    <t>Ajuste en Otros ingresos por salarios Exento</t>
  </si>
  <si>
    <t>Tipo</t>
  </si>
  <si>
    <t>Ajuste en Otros ingresos por salarios Gravado</t>
  </si>
  <si>
    <t>Reintegro de ISR retenido en exceso (siempre que no haya sido enterado al SAT).</t>
  </si>
  <si>
    <t>Ajuste en Subsidio para el empleo (efectivamente entregado al trabajador)</t>
  </si>
  <si>
    <t>Subsidio para el empleo (efectivamente entregado al trabajador).</t>
  </si>
  <si>
    <t>Ajuste en Alimentación Exento</t>
  </si>
  <si>
    <t>Aplicación de saldo a favor por compensación anual.</t>
  </si>
  <si>
    <t>Ajuste en Alimentación Gravado</t>
  </si>
  <si>
    <t>Reintegro de ISR retenido en exceso de ejercicio anterior (siempre que no haya sido enterado al SAT).</t>
  </si>
  <si>
    <t>Ajuste en Habitación Exento</t>
  </si>
  <si>
    <t>Alimentos en bienes (Servicios de comedor y comida) Art 94 penúltimo párrafo LISR.</t>
  </si>
  <si>
    <t>Ajuste en Habitación Gravado</t>
  </si>
  <si>
    <t>ISR ajustado por subsidio.</t>
  </si>
  <si>
    <t>Ajuste en Premios por asistencia</t>
  </si>
  <si>
    <t>Subsidio efectivamente entregado que no correspondía (Aplica sólo cuando haya ajuste al cierre de mes en relación con el Apéndice 7 de la guía de llenado de nómina).</t>
  </si>
  <si>
    <t>Ajuste en Viáticos gravados</t>
  </si>
  <si>
    <t>Ajuste en Fondo de ahorro Gravado</t>
  </si>
  <si>
    <t>Ajuste en Caja de ahorro Gravado</t>
  </si>
  <si>
    <t>Ajuste en Prima de Seguro de vida Gravado</t>
  </si>
  <si>
    <t>Ajuste en Seguro de Gastos Médicos Mayores Gravado</t>
  </si>
  <si>
    <t>Ajuste en Subsidios por incapacidad Gravado</t>
  </si>
  <si>
    <t>Ajuste en Becas para trabajadores y/o hijos Gravado</t>
  </si>
  <si>
    <t>Ajuste en Seguro de retiro Gravado</t>
  </si>
  <si>
    <t>Ajuste en Vales de despensa Gravado</t>
  </si>
  <si>
    <t>Ajuste en Vales de restaurante Gravado</t>
  </si>
  <si>
    <t>Ajuste en Vales de gasolina Gravado</t>
  </si>
  <si>
    <t>Ajuste en Vales de ropa Gravado</t>
  </si>
  <si>
    <t>Ajuste en Ayuda para renta Gravado</t>
  </si>
  <si>
    <t>Ajuste en Ayuda para artículos escolares Gravado</t>
  </si>
  <si>
    <t>Ajuste en Ayuda para anteojos Gravado</t>
  </si>
  <si>
    <t>Ajuste en Ayuda para transporte Gravado</t>
  </si>
  <si>
    <t>Ajuste en Ayuda para gastos de funeral Gravado</t>
  </si>
  <si>
    <t>Ajuste a ingresos por sueldos y salarios gravados</t>
  </si>
  <si>
    <t>Ajuste en Viáticos exentos</t>
  </si>
  <si>
    <t>ISR Retenido de ejercicio anterior</t>
  </si>
  <si>
    <t xml:space="preserve">Ajuste al Subsidio Causado </t>
  </si>
  <si>
    <t>Ajuste a días de descanso laborados gravados</t>
  </si>
  <si>
    <t>Ajuste a días de descanso laborados exentos</t>
  </si>
  <si>
    <t>Ajuste a días de descanso obligatorios laborados gravados</t>
  </si>
  <si>
    <t>Ajuste a días de descanso obligatorios laborados exentos</t>
  </si>
  <si>
    <t>Ajuste previsión social Art 93 fracciones VIII y IX LISR gravados</t>
  </si>
  <si>
    <t>Ajuste previsión social Art 93 fracciones VIII y IX LISR exentos</t>
  </si>
  <si>
    <t>Artículo 171. Cuando el trabajador convenga con el empleador en que el pago de la jubilación, pensión o haber de retiro, se cubra mediante pago único, no se pagará el Impuesto por éste, cuando el monto de dicho pago no exceda de noventa veces el salario mínimo general del área geográfica del trabajador elevados al año, a que se refiere el artículo 93, fracción XIII de la Ley. Por el excedente se pagará el Impuesto en términos del artículo 95 de la Ley.</t>
  </si>
  <si>
    <t>90 UMA's elavadas al año
Art. 171 RLISR</t>
  </si>
  <si>
    <t xml:space="preserve">Ajuste en Jubilaciones, pensiones o haberes de retiro en una sola exhibición Exento </t>
  </si>
  <si>
    <t>Ajuste en Jubilaciones, pensiones o haberes de retiro en una sola exhibición Gravado</t>
  </si>
  <si>
    <t>Ajuste a pagos que se realicen a extrabajadores que obtengan una jubilación en una sola exhibición derivados de la ejecución de una resolución judicial o de un laudo gravados</t>
  </si>
  <si>
    <t>Ajuste a pagos que se realicen a extrabajadores que obtengan una jubilación en una sola exhibición derivados de la ejecución de una resolución judicial o de un laudo exentos</t>
  </si>
  <si>
    <t>XIII.	Los que obtengan las personas que han estado sujetas a una relación laboral en el momento de su separación, por concepto de primas de antigüedad, retiro e indemnizaciones u otros pagos, así como los obtenidos con cargo a la subcuenta del seguro de retiro o a la subcuenta de retiro, cesantía en edad avanzada y vejez, previstas en la Ley del Seguro Social y los que obtengan los trabajadores al servicio del Estado con cargo a la cuenta individual del sistema de ahorro para el retiro, prevista en la Ley del Instituto de Seguridad y Servicios Sociales de los Trabajadores del Estado, y los que obtengan por concepto del beneficio previsto en la Ley de Pensión Universal, hasta por el equivalente a noventa veces el salario mínimo general del área geográfica del contribuyente por cada año de servicio o de contribución en el caso de la subcuenta del seguro de retiro, de la subcuenta de retiro, cesantía en edad avanzada y vejez o de la cuenta individual del sistema de ahorro para el retiro. Los años de servicio serán los que se hubieran considerado para el cálculo de los conceptos mencionados. Toda fracción de más de seis meses se considerará un año completo. Por el excedente se pagará el impuesto en los términos de este Título.</t>
  </si>
  <si>
    <t>90 UMA's por año de servicio
Art. 93 fracción XIII LISR</t>
  </si>
  <si>
    <t>N/A</t>
  </si>
  <si>
    <t>Ajuste en Jubilaciones, pensiones o haberes de retiro en parcialidades Exento</t>
  </si>
  <si>
    <t>Ajuste en Jubilaciones, pensiones o haberes de retiro en parcialidades Gravado</t>
  </si>
  <si>
    <t>Ajuste a pagos por gratificaciones, primas, compensaciones, recompensas u otros a extrabajadores derivados de jubilación en parcialidades, gravados</t>
  </si>
  <si>
    <t>Ajuste a pagos que se realicen a extrabajadores que obtengan una jubilación en parcialidades derivados de la ejecución de una resolución judicial o de un laudo gravados</t>
  </si>
  <si>
    <t>Ajuste a pagos que se realicen a extrabajadores que obtengan una jubilación en parcialidades derivados de la ejecución de una resolución judicial o de un laudo exentos</t>
  </si>
  <si>
    <r>
      <rPr>
        <b/>
        <sz val="11"/>
        <color theme="1"/>
        <rFont val="Aptos Narrow"/>
        <family val="2"/>
        <scheme val="minor"/>
      </rPr>
      <t>Artículo 94 LISR</t>
    </r>
    <r>
      <rPr>
        <sz val="11"/>
        <color theme="1"/>
        <rFont val="Aptos Narrow"/>
        <family val="2"/>
        <scheme val="minor"/>
      </rPr>
      <t>. Se consideran ingresos por la prestación de un servicio personal subordinado, los salarios y demás prestaciones que deriven de una relación laboral, incluyendo la participación de los trabajadores en las utilidades de las empresas y las prestaciones percibidas como consecuencia de la terminación de la relación laboral. Para los efectos de este impuesto, se asimilan a estos ingresos los siguientes:</t>
    </r>
  </si>
  <si>
    <t>II.</t>
  </si>
  <si>
    <t>Los rendimientos y anticipos, que obtengan los miembros de las sociedades cooperativas de producción, así como los anticipos que reciban los miembros de sociedades y asociaciones civiles.</t>
  </si>
  <si>
    <t>III.</t>
  </si>
  <si>
    <t>Los honorarios a miembros de consejos directivos, de vigilancia, consultivos o de cualquier otra índole, así como los honorarios a administradores, comisarios y gerentes generales.</t>
  </si>
  <si>
    <t>IV.</t>
  </si>
  <si>
    <t>Los honorarios a personas que presten servicios preponderantemente a un prestatario, siempre que los mismos se lleven a cabo en las instalaciones de este último.
Para los efectos del párrafo anterior, se entiende que una persona presta servicios preponderantemente a un prestatario, cuando los ingresos que hubiera percibido de dicho prestatario en el año de calendario inmediato anterior, representen más del 50% del total de los ingresos obtenidos por los conceptos a que se refiere la fracción II del artículo 100 de esta Ley.
Antes de que se efectúe el primer pago de honorarios en el año de calendario de que se trate, las personas a que se refiere esta fracción deberán comunicar por escrito al prestatario en cuyas instalaciones se realice la prestación del servicio, si los ingresos que obtuvieron de dicho prestatario en el año inmediato anterior excedieron del 50% del total de los percibidos en dicho año de calendario por los conceptos a que se refiere la fracción II del artículo 100 de esta Ley. En el caso de que se omita dicha comunicación, el prestatario estará obligado a efectuar las retenciones correspondientes.</t>
  </si>
  <si>
    <t>Los honorarios que perciban las personas físicas de personas morales o de personas físicas con actividades empresariales a las que presten servicios personales independientes, cuando comuniquen por escrito al prestatario que optan por pagar el impuesto en los términos de este Capítulo.</t>
  </si>
  <si>
    <t>VI.</t>
  </si>
  <si>
    <t>Los ingresos que perciban las personas físicas de personas morales o de personas físicas con actividades empresariales, por las actividades empresariales que realicen, cuando comuniquen por escrito a la persona que efectúe el pago que optan por pagar el impuesto en los términos de este Capítulo.</t>
  </si>
  <si>
    <t>VII.</t>
  </si>
  <si>
    <t>Los ingresos obtenidos por las personas físicas por ejercer la opción otorgada por el empleador, o una parte relacionada del mismo, para adquirir, incluso mediante suscripción, acciones o títulos valor que representen bienes, sin costo alguno o a un precio menor o igual al de mercado que tengan dichas acciones o títulos valor al momento del ejercicio de la opción, independientemente de que las acciones o títulos valor sean emitidos por el empleador o la parte relacionada del mismo.
El ingreso acumulable será la diferencia que exista entre el valor de mercado que tengan las acciones o títulos valor sujetos a la opción, al momento en el que el contribuyente ejerza la misma y el precio establecido al otorgarse la opción.</t>
  </si>
  <si>
    <t>Ajuste en Ingresos en acciones o títulos valor que representan bienes Gravado</t>
  </si>
  <si>
    <t>Ajuste a ingresos asimilados a salarios gravados</t>
  </si>
  <si>
    <t>90 UMA's por año de servicio
Art. 93, fracción Xlll</t>
  </si>
  <si>
    <t>Ajuste en Prima por antigüedad Exento</t>
  </si>
  <si>
    <t>Ajuste en Prima por antigüedad Gravado</t>
  </si>
  <si>
    <t>Ajuste en Pagos por separación Exento</t>
  </si>
  <si>
    <t>Ajuste en Pagos por separación Gravado</t>
  </si>
  <si>
    <t>Ajuste en Indemnizaciones Exento</t>
  </si>
  <si>
    <t>Ajuste en Indemnizaciones Gravado</t>
  </si>
  <si>
    <t>Ajuste en Pagos por separación Acumulable</t>
  </si>
  <si>
    <t>Claves de deducciones</t>
  </si>
  <si>
    <t>Deducción</t>
  </si>
  <si>
    <t>Importe</t>
  </si>
  <si>
    <t>Seguridad social</t>
  </si>
  <si>
    <t>Aportaciones a retiro, cesantía en edad avanzada y vejez.</t>
  </si>
  <si>
    <t>SBC</t>
  </si>
  <si>
    <t>Días a cotizar</t>
  </si>
  <si>
    <t>Faltas</t>
  </si>
  <si>
    <t>Incapacidades</t>
  </si>
  <si>
    <t>Tasa trabajador</t>
  </si>
  <si>
    <t>Cuota trabajador</t>
  </si>
  <si>
    <t>Enfermedad y Maternidad - Excedente sobre 3 UMA</t>
  </si>
  <si>
    <t>Enfermedad y Maternidad  - Gastos médicos a pensionados</t>
  </si>
  <si>
    <t>Enfermedad y Maternidad  - Prestaciones en dinero</t>
  </si>
  <si>
    <t>Invalidez y Vida</t>
  </si>
  <si>
    <t>Cesantía y Vejez (patrón variable 3.150–6.422%)</t>
  </si>
  <si>
    <t>Totales</t>
  </si>
  <si>
    <t>Días a calcular</t>
  </si>
  <si>
    <t>Ingreso base para ISR</t>
  </si>
  <si>
    <t>Límite máximo de ISR base para SE</t>
  </si>
  <si>
    <t>(+) Otros ingresos del periodo</t>
  </si>
  <si>
    <t>(-) Disminuciones por ajustes o exentos</t>
  </si>
  <si>
    <t>% de subsidio</t>
  </si>
  <si>
    <t>(=) Ingreso base para ISR</t>
  </si>
  <si>
    <t>Valor mensual del subsidio</t>
  </si>
  <si>
    <t>(+) Ingreso acumulable para determinar el SE (dato informativo)</t>
  </si>
  <si>
    <t>(/) 30.4</t>
  </si>
  <si>
    <t>(x) Días a calcular</t>
  </si>
  <si>
    <t>ISR causado</t>
  </si>
  <si>
    <t>a) Trabajador con beneficio por ser un crédito originado antes del 31 de enero de 1998</t>
  </si>
  <si>
    <t>Salario mínimo</t>
  </si>
  <si>
    <t>I. Tarifa aplicable en función de la cantidad de trabajo realizado y no de días laborados, correspondiente a 2026, calculada en días a que se refieren los artículos 96 de la Ley del ISR y 175 de su Reglamento, así como la regla 3.12.2.</t>
  </si>
  <si>
    <t>Tarifa convertida a:</t>
  </si>
  <si>
    <t>Nodo comprobante</t>
  </si>
  <si>
    <t>Nodo emisor</t>
  </si>
  <si>
    <t>Nodo receptor</t>
  </si>
  <si>
    <t>Fecha de expedición *</t>
  </si>
  <si>
    <t>RFC *</t>
  </si>
  <si>
    <t>Serie</t>
  </si>
  <si>
    <t>Nombre o razón social *</t>
  </si>
  <si>
    <t>Folio</t>
  </si>
  <si>
    <t>Domicilio fiscal *</t>
  </si>
  <si>
    <t>Método de pago **</t>
  </si>
  <si>
    <t>PUE</t>
  </si>
  <si>
    <t>Régimen fiscal *</t>
  </si>
  <si>
    <t>Forma de pago **</t>
  </si>
  <si>
    <t>Este campo no debe de existir</t>
  </si>
  <si>
    <t>FacAtrAdquirente **</t>
  </si>
  <si>
    <t>País de residencia **</t>
  </si>
  <si>
    <t>Moneda *</t>
  </si>
  <si>
    <t>MXN</t>
  </si>
  <si>
    <t>Registro tributario **</t>
  </si>
  <si>
    <t>Tipo de cambio **</t>
  </si>
  <si>
    <t>Uso del CFDI *</t>
  </si>
  <si>
    <t>CN01</t>
  </si>
  <si>
    <t>Condiciones de pago</t>
  </si>
  <si>
    <t>Lugar de expedición *</t>
  </si>
  <si>
    <t>Exportación*</t>
  </si>
  <si>
    <t>01</t>
  </si>
  <si>
    <t>Tipo de comprobante *</t>
  </si>
  <si>
    <t>N</t>
  </si>
  <si>
    <t>Nodo tipo de relación</t>
  </si>
  <si>
    <t>Tipo de relación **</t>
  </si>
  <si>
    <t>UUID **</t>
  </si>
  <si>
    <t>Nodo conceptos</t>
  </si>
  <si>
    <t>ClaveProdServ *</t>
  </si>
  <si>
    <t>No. De identificación **</t>
  </si>
  <si>
    <t>Clave de unidad de medida *</t>
  </si>
  <si>
    <t>ACT</t>
  </si>
  <si>
    <t>Unidad **</t>
  </si>
  <si>
    <t>Cantidad *</t>
  </si>
  <si>
    <t>Valor unitario *</t>
  </si>
  <si>
    <t>Descripción *</t>
  </si>
  <si>
    <t>Pago de nómina</t>
  </si>
  <si>
    <t>Importe *</t>
  </si>
  <si>
    <t>Descuento **</t>
  </si>
  <si>
    <t>Objeto impuestos *</t>
  </si>
  <si>
    <t>No. de pedimento **</t>
  </si>
  <si>
    <t>No. de la cuenta predial **</t>
  </si>
  <si>
    <t>Complemento de nómina</t>
  </si>
  <si>
    <t>Tipo de nómina</t>
  </si>
  <si>
    <r>
      <t xml:space="preserve">Se debe registrar la clave con la que se identifica el tipo de nómina.
Las claves de los tipos de nóminas se encuentran incluidas en el catálogo  c_TipoNomina publicado en el Portal del SAT.
Ejemplo:
TipoNomina= O
</t>
    </r>
    <r>
      <rPr>
        <b/>
        <sz val="11"/>
        <color theme="1"/>
        <rFont val="Aptos Narrow"/>
        <family val="2"/>
        <scheme val="minor"/>
      </rPr>
      <t>El tipo de nómina puede ser:</t>
    </r>
    <r>
      <rPr>
        <sz val="11"/>
        <color theme="1"/>
        <rFont val="Aptos Narrow"/>
        <family val="2"/>
        <scheme val="minor"/>
      </rPr>
      <t xml:space="preserve">
Ordinaria o Extraordinaria, esta clasificación la realiza el patrón al emitir el comprobante, comúnmente se suele clasificar como ordinaria a la nómina que paga conceptos de manera periódica y, por ende, a la que le corresponde una periodicidad determinada, por ejemplo: Diaria, Semanal, Catorcenal, Quincenal, Mensual, Bimestral, Decenal o incluso por unidad de obra, comisión o precio alzado.
Como extraordinaria se clasifica a aquella nómina que incluye conceptos que no son objeto de pago de manera periódica o habitual, por ejemplo, pagos porseparación, aguinaldos o bonos.
</t>
    </r>
    <r>
      <rPr>
        <b/>
        <sz val="11"/>
        <color theme="1"/>
        <rFont val="Aptos Narrow"/>
        <family val="2"/>
        <scheme val="minor"/>
      </rPr>
      <t>Fuente</t>
    </r>
    <r>
      <rPr>
        <sz val="11"/>
        <color theme="1"/>
        <rFont val="Aptos Narrow"/>
        <family val="2"/>
        <scheme val="minor"/>
      </rPr>
      <t>: Guía de llenado del CFDI de nómina (página 20)</t>
    </r>
  </si>
  <si>
    <t>Fecha de pago</t>
  </si>
  <si>
    <r>
      <t xml:space="preserve">Se debe registrar la fecha en que efectivamente el empleador realizó el pago (erogación) de la nómina al trabajador
</t>
    </r>
    <r>
      <rPr>
        <b/>
        <sz val="11"/>
        <color theme="1"/>
        <rFont val="Aptos Narrow"/>
        <family val="2"/>
        <scheme val="minor"/>
      </rPr>
      <t>Fuente:</t>
    </r>
    <r>
      <rPr>
        <sz val="11"/>
        <color theme="1"/>
        <rFont val="Aptos Narrow"/>
        <family val="2"/>
        <scheme val="minor"/>
      </rPr>
      <t xml:space="preserve"> Guía de llenado del CFDI nómina (página 20)
</t>
    </r>
    <r>
      <rPr>
        <b/>
        <sz val="11"/>
        <color theme="1"/>
        <rFont val="Aptos Narrow"/>
        <family val="2"/>
        <scheme val="minor"/>
      </rPr>
      <t>Artículo 109 LFT</t>
    </r>
    <r>
      <rPr>
        <sz val="11"/>
        <color theme="1"/>
        <rFont val="Aptos Narrow"/>
        <family val="2"/>
        <scheme val="minor"/>
      </rPr>
      <t xml:space="preserve">.- El pago deberá efectuarse en día laborable, fijado por convenio entre el trabajador y el patrón, durante las horas de trabajo o inmediatamente después de su terminación
</t>
    </r>
    <r>
      <rPr>
        <b/>
        <sz val="11"/>
        <color theme="1"/>
        <rFont val="Aptos Narrow"/>
        <family val="2"/>
        <scheme val="minor"/>
      </rPr>
      <t>Artículo 1000 LFT</t>
    </r>
    <r>
      <rPr>
        <sz val="11"/>
        <color theme="1"/>
        <rFont val="Aptos Narrow"/>
        <family val="2"/>
        <scheme val="minor"/>
      </rPr>
      <t xml:space="preserve">.- El incumplimiento de las normas relativas a la remuneración de los trabajos, duración de la jornada y descansos, contenidas en un contrato Ley, o en un contrato colectivo de trabajo, se sancionará con multa por el equivalente de 250 a 5000 veces la Unidad de Medida y Actualización.
</t>
    </r>
    <r>
      <rPr>
        <b/>
        <sz val="11"/>
        <color theme="1"/>
        <rFont val="Aptos Narrow"/>
        <family val="2"/>
        <scheme val="minor"/>
      </rPr>
      <t>Artículo 1002 LFT</t>
    </r>
    <r>
      <rPr>
        <sz val="11"/>
        <color theme="1"/>
        <rFont val="Aptos Narrow"/>
        <family val="2"/>
        <scheme val="minor"/>
      </rPr>
      <t>.- Por violaciones a las normas de trabajo no sancionadas en este Título o en alguna otra disposición de esta Ley, se impondrá al infractor multa por el equivalente de 50 a 5000 veces la Unidad de Medida y Actualización.</t>
    </r>
  </si>
  <si>
    <t>Fecha inicial de pago</t>
  </si>
  <si>
    <r>
      <t xml:space="preserve">Se debe registrar la fecha inicial del periodo de pago, debe de ser menor o igual a la FechaFinalPago.
Para el caso de nóminas extraordinarias, se puede señalar como FechaInicialPago y FechaFinalPago la misma, es decir, la del día en que se realice el pago al trabajador.
Se expresa en la forma AAAA-MM-DD de acuerdo con la especificación ISO 8601
</t>
    </r>
    <r>
      <rPr>
        <b/>
        <sz val="11"/>
        <color theme="1"/>
        <rFont val="Aptos Narrow"/>
        <family val="2"/>
        <scheme val="minor"/>
      </rPr>
      <t>Fuente</t>
    </r>
    <r>
      <rPr>
        <sz val="11"/>
        <color theme="1"/>
        <rFont val="Aptos Narrow"/>
        <family val="2"/>
        <scheme val="minor"/>
      </rPr>
      <t>: Guía de llenado del CFDI de nómina (página 21)</t>
    </r>
  </si>
  <si>
    <t>Fecha final de pago</t>
  </si>
  <si>
    <r>
      <t xml:space="preserve">Se debe registrar la fecha final del periodo de pago, debe ser mayor o igual a la FechaInicialPago.
Para el caso de nóminas extraordinarias como aquella en la que se paga la PTU, el aguinaldo, indemnización o pagos como resultado de la ejecución de un laudo, se puede señalar como FechaInicialPago y FechaFinalPago, la misma fecha, es decir del día en que se realice el pago al trabajador. 
Se expresa en la forma AAAA-MM-DD de acuerdo con la especificación ISO 8601.
</t>
    </r>
    <r>
      <rPr>
        <b/>
        <sz val="11"/>
        <color theme="1"/>
        <rFont val="Aptos Narrow"/>
        <family val="2"/>
        <scheme val="minor"/>
      </rPr>
      <t>Fuente:</t>
    </r>
    <r>
      <rPr>
        <sz val="11"/>
        <color theme="1"/>
        <rFont val="Aptos Narrow"/>
        <family val="2"/>
        <scheme val="minor"/>
      </rPr>
      <t xml:space="preserve"> Guía de llenado del CFDI de nómina (página 21)</t>
    </r>
  </si>
  <si>
    <t>Número de días pagados</t>
  </si>
  <si>
    <r>
      <t xml:space="preserve">Se debe registrar el número de días y/o la fracción de días pagados al trabajador. 
El valor debe ser mayor que cero, se pueden registrar hasta 36,160 días y no se incluyen los ceros a la izquierda.
Para el número de días pagados también se deben registrar en los casos en que se realicen pagos por ejemplo por PTU, indemnización o pagos como resultado de la ejecución de un laudo.
</t>
    </r>
    <r>
      <rPr>
        <b/>
        <sz val="11"/>
        <color theme="1"/>
        <rFont val="Aptos Narrow"/>
        <family val="2"/>
        <scheme val="minor"/>
      </rPr>
      <t>Fuente:</t>
    </r>
    <r>
      <rPr>
        <sz val="11"/>
        <color theme="1"/>
        <rFont val="Aptos Narrow"/>
        <family val="2"/>
        <scheme val="minor"/>
      </rPr>
      <t xml:space="preserve"> Guía de llenado del CFDI de nómina (página 22)</t>
    </r>
  </si>
  <si>
    <t>Fecha inicio relación laboral</t>
  </si>
  <si>
    <r>
      <t xml:space="preserve">Se puede registrar la fecha de inicio de la relación laboral entre el empleador y el empleado. Se deben señalar los datos de la relación laboral y patrón vigente, es decir, contrato vigente. 
Se debe registrar cuando se esté obligado conforme a las disposiciones aplicables. 
Se expresa en la forma AAAA-MM-DD de acuerdo con la especificación ISO 8601. 
</t>
    </r>
    <r>
      <rPr>
        <b/>
        <sz val="11"/>
        <color theme="1"/>
        <rFont val="Aptos Narrow"/>
        <family val="2"/>
        <scheme val="minor"/>
      </rPr>
      <t xml:space="preserve">Ejemplo: </t>
    </r>
    <r>
      <rPr>
        <sz val="11"/>
        <color theme="1"/>
        <rFont val="Aptos Narrow"/>
        <family val="2"/>
        <scheme val="minor"/>
      </rPr>
      <t xml:space="preserve"> 
FechaInicioRelLaboral= 2022-01-01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El valor de este dato deberá ser menor o igual que el campo FechaFinalPago. 
 </t>
    </r>
    <r>
      <rPr>
        <b/>
        <sz val="11"/>
        <color theme="1"/>
        <rFont val="Aptos Narrow"/>
        <family val="2"/>
        <scheme val="minor"/>
      </rPr>
      <t>Fuente</t>
    </r>
    <r>
      <rPr>
        <sz val="11"/>
        <color theme="1"/>
        <rFont val="Aptos Narrow"/>
        <family val="2"/>
        <scheme val="minor"/>
      </rPr>
      <t>: Guía de llenado del CFDI de nómina (página 22)</t>
    </r>
  </si>
  <si>
    <t>Antigüedad</t>
  </si>
  <si>
    <r>
      <t xml:space="preserve">Se puede registrar el número de semanas o el periodo de años, meses y días (año calendario) en que el empleado ha mantenido relación laboral con el empleador. 
Se debe registrar cuando se esté obligado conforme a las disposiciones aplicables.  
El valor de este campo deber ser menor o igual que el tiempo transcurrido entre la fecha de inicio de relación laboral y la fecha final de pago.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t>
    </r>
    <r>
      <rPr>
        <b/>
        <sz val="11"/>
        <color theme="1"/>
        <rFont val="Aptos Narrow"/>
        <family val="2"/>
        <scheme val="minor"/>
      </rPr>
      <t>Fuente</t>
    </r>
    <r>
      <rPr>
        <sz val="11"/>
        <color theme="1"/>
        <rFont val="Aptos Narrow"/>
        <family val="2"/>
        <scheme val="minor"/>
      </rPr>
      <t>: Guía de llenado del CFDI de nómina (página 31)</t>
    </r>
  </si>
  <si>
    <t>Fecha inicial</t>
  </si>
  <si>
    <t>Fecha final</t>
  </si>
  <si>
    <t>Años</t>
  </si>
  <si>
    <t>Meses</t>
  </si>
  <si>
    <t>Días</t>
  </si>
  <si>
    <t>Presentación en el CFDI</t>
  </si>
  <si>
    <t>Años, meses y días</t>
  </si>
  <si>
    <t>Semanas</t>
  </si>
  <si>
    <t>Tipo de contrato</t>
  </si>
  <si>
    <r>
      <t xml:space="preserve">Se debe registrar la clave del tipo de contrato laboral que tiene el trabajador con su empleador, en virtud del cual el trabajador se compromete a prestar sus 
servicios a cambio de una remuneración.  
Las claves de los distintos tipos de contrato se encuentran incluidas en el catálogo c_TipoContrato publicado en el Portal del SAT. 
Ejemplo:  
 TipoContrato= 01
</t>
    </r>
    <r>
      <rPr>
        <b/>
        <sz val="11"/>
        <color theme="1"/>
        <rFont val="Aptos Narrow"/>
        <family val="2"/>
        <scheme val="minor"/>
      </rPr>
      <t>Fuente</t>
    </r>
    <r>
      <rPr>
        <sz val="11"/>
        <color theme="1"/>
        <rFont val="Aptos Narrow"/>
        <family val="2"/>
        <scheme val="minor"/>
      </rPr>
      <t>: Guía de llenado del CFDI de nómina (página 32)</t>
    </r>
  </si>
  <si>
    <t>c_TipoContrato</t>
  </si>
  <si>
    <t>Fundamento legal</t>
  </si>
  <si>
    <t>Contrato de trabajo por tiempo indeterminado</t>
  </si>
  <si>
    <t>Art. 35 y 39 LFT</t>
  </si>
  <si>
    <r>
      <rPr>
        <b/>
        <sz val="11"/>
        <color theme="1"/>
        <rFont val="Arial"/>
        <family val="2"/>
      </rPr>
      <t>Artículo 35 LFT</t>
    </r>
    <r>
      <rPr>
        <sz val="11"/>
        <color theme="1"/>
        <rFont val="Arial"/>
        <family val="2"/>
      </rPr>
      <t>. Las relaciones de trabajo pueden ser para obra o tiempo determinado, por temporada o por tiempo indeterminado y en su caso podrá estar sujeto a prueba o a capacitación inicial. A falta de estipulaciones expresas, la relación será por tiempo indeterminado.</t>
    </r>
  </si>
  <si>
    <t>Contrato de trabajo para obra determinada</t>
  </si>
  <si>
    <t>Art. 36 LFT</t>
  </si>
  <si>
    <r>
      <rPr>
        <b/>
        <sz val="11"/>
        <color theme="1"/>
        <rFont val="Arial"/>
        <family val="2"/>
      </rPr>
      <t>Artículo 36 LFT</t>
    </r>
    <r>
      <rPr>
        <sz val="11"/>
        <color theme="1"/>
        <rFont val="Arial"/>
        <family val="2"/>
      </rPr>
      <t>.- El señalamiento de un obra determinada puede únicamente estipularse cuando lo exija su naturaleza.</t>
    </r>
  </si>
  <si>
    <t>Contrato de trabajo por tiempo determinado</t>
  </si>
  <si>
    <t>Art. 37 LFT</t>
  </si>
  <si>
    <r>
      <rPr>
        <b/>
        <sz val="11"/>
        <color theme="1"/>
        <rFont val="Arial"/>
        <family val="2"/>
      </rPr>
      <t>Artículo 37 LFT</t>
    </r>
    <r>
      <rPr>
        <sz val="11"/>
        <color theme="1"/>
        <rFont val="Arial"/>
        <family val="2"/>
      </rPr>
      <t>.- El señalamiento de un tiempo determinado puede únicamente estipularse en los caso siguientes:
I. 	Cuando lo exija la naturaleza del trabajo que se va a prestar;
II. 	Cuando tenga por objeto substituir temporalmente a otro trabajador; y
III. 	En los demás casos previstos por esta Ley.</t>
    </r>
  </si>
  <si>
    <t>Contrato de trabajo por temporada</t>
  </si>
  <si>
    <t>Art. 39-F LFT</t>
  </si>
  <si>
    <r>
      <rPr>
        <b/>
        <sz val="11"/>
        <color theme="1"/>
        <rFont val="Arial"/>
        <family val="2"/>
      </rPr>
      <t>Artículo 39-F LFT</t>
    </r>
    <r>
      <rPr>
        <sz val="11"/>
        <color theme="1"/>
        <rFont val="Arial"/>
        <family val="2"/>
      </rPr>
      <t>. Las relaciones de trabajo por tiempo indeterminado serán continuas por regla general, pero podrán pactarse para labores discontinuas cuando los servicios requeridos sean para labores fijas y periódicas de carácter discontinuo, en los casos de actividades de temporada o que no exijan la prestación de servicios toda la semana, el mes o el año.
Los trabajadores que presten servicios bajo esta modalidad tienen los mismos derechos y obligaciones que los trabajadores por tiempo indeterminado, en proporción al tiempo trabajado en cada periodo.</t>
    </r>
  </si>
  <si>
    <t>Contrato de trabajo sujeto a prueba</t>
  </si>
  <si>
    <t>Art. 39-A LFT</t>
  </si>
  <si>
    <r>
      <rPr>
        <b/>
        <sz val="11"/>
        <color theme="1"/>
        <rFont val="Arial"/>
        <family val="2"/>
      </rPr>
      <t>Artículo 39-A LFT</t>
    </r>
    <r>
      <rPr>
        <sz val="11"/>
        <color theme="1"/>
        <rFont val="Arial"/>
        <family val="2"/>
      </rPr>
      <t>. En las relaciones de trabajo por tiempo indeterminado o cuando excedan de ciento ochenta días, podrá establecerse un periodo a prueba, el cual no podrá exceder de treinta días, con el único fin de verificar que el trabajador cumple con los requisitos y conocimientos necesarios para desarrollar el trabajo que se solicita.
El periodo de prueba a que se refiere el párrafo anterior, podrá extenderse hasta ciento ochenta días, sólo cuando se trate de trabajadores para puestos de dirección, gerenciales y demás personas que ejerzan funciones de dirección o administración en la empresa o establecimiento de carácter general o para desempeñar labores técnicas o profesionales especializadas.
Durante el período de prueba el trabajador disfrutará del salario, la garantía de la seguridad social y de las prestaciones de la categoría o puesto que desempeñe. Al término del periodo de prueba, de no acreditar el trabajador que satisface los requisitos y conocimientos necesarios para desarrollar las labores, a juicio del patrón, tomando en cuenta la opinión de la Comisión Mixta de Productividad, Capacitación y Adiestramiento en los términos de esta Ley, así como la naturaleza de la categoría o puesto, se dará por terminada la relación de trabajo, sin responsabilidad para el patrón.</t>
    </r>
  </si>
  <si>
    <t>Contrato de trabajo con capacitación inicial</t>
  </si>
  <si>
    <t>Art. 39-B LFT</t>
  </si>
  <si>
    <r>
      <rPr>
        <b/>
        <sz val="11"/>
        <color theme="1"/>
        <rFont val="Arial"/>
        <family val="2"/>
      </rPr>
      <t>Artículo 39-B LFT</t>
    </r>
    <r>
      <rPr>
        <sz val="11"/>
        <color theme="1"/>
        <rFont val="Arial"/>
        <family val="2"/>
      </rPr>
      <t>. Se entiende por relación de trabajo para capacitación inicial, aquella por virtud de la cual un trabajador se obliga a prestar sus servicios subordinados, bajo la dirección y mando del patrón, con el fin de que adquiera los conocimientos o habilidades necesarios para la actividad para la que vaya a ser contratado.
La vigencia de la relación de trabajo a que se refiere el párrafo anterior, tendrá una duración máxima de tres meses o en su caso, hasta de seis meses sólo cuando se trate de trabajadores para puestos de dirección, gerenciales y demás personas que ejerzan funciones de dirección o administración en la empresa o establecimiento de carácter general o para desempeñar labores que requieran conocimientos profesionales especializados. Durante ese tiempo el trabajador disfrutará del salario, la garantía de la seguridad social y de las prestaciones de la categoría o puesto que desempeñe. Al término de la capacitación inicial, de no acreditar competencia el trabajador, a juicio del patrón, tomando en cuenta la opinión de la Comisión Mixta de Productividad, Capacitación y Adiestramiento en los términos de esta Ley, así como a la naturaleza de la categoría o puesto, se dará por terminada la relación de trabajo, sin responsabilidad para el patrón.</t>
    </r>
  </si>
  <si>
    <t>Modalidad de contratación por pago de hora laborada</t>
  </si>
  <si>
    <t>Art. 83 LFT</t>
  </si>
  <si>
    <r>
      <rPr>
        <b/>
        <sz val="11"/>
        <color theme="1"/>
        <rFont val="Arial"/>
        <family val="2"/>
      </rPr>
      <t>Artículo 83 LFT</t>
    </r>
    <r>
      <rPr>
        <sz val="11"/>
        <color theme="1"/>
        <rFont val="Arial"/>
        <family val="2"/>
      </rPr>
      <t>.- El salario puede fijarse por unidad de tiempo, por unidad de obra, por comisión, a precio alzado o de cualquier otra manera.
Tratándose de salario por unidad de tiempo, se establecerá específicamente esa naturaleza. El trabajador y el patrón podrán convenir el monto, siempre que se trate de un salario remunerador, así como el pago por cada hora de prestación de servicio, siempre y cuando no se exceda la jornada máxima legal y se respeten los derechos laborales y de seguridad social que correspondan a la plaza de que se trate. El ingreso que perciban los trabajadores por esta modalidad, en ningún caso será inferior al que corresponda a una jornada diaria.
Cuando el salario se fije por unidad de obra, además de especificarse la naturaleza de ésta, se hará constar la cantidad y calidad del material, el estado de la herramienta y útiles que el patrón, en su caso, proporcione para ejecutar la obra, y el tiempo por el que los pondrá a disposición del trabajador, sin que pueda exigir cantidad alguna por concepto del desgaste natural que sufra la herramienta como consecuencia del trabajo.</t>
    </r>
  </si>
  <si>
    <t>Modalidad de trabajo por comisión laboral</t>
  </si>
  <si>
    <r>
      <rPr>
        <b/>
        <sz val="11"/>
        <color theme="1"/>
        <rFont val="Arial"/>
        <family val="2"/>
      </rPr>
      <t>Artículo 285 LFT</t>
    </r>
    <r>
      <rPr>
        <sz val="11"/>
        <color theme="1"/>
        <rFont val="Arial"/>
        <family val="2"/>
      </rPr>
      <t xml:space="preserve">.- Los agentes de comercio, de seguros, los vendedores, viajantes, propagandistas o impulsores de ventas y otros semejantes, son trabajadores de la empresa o empresas a las que presten sus servicios, cuando su actividad sea permanente, salvo que no ejecuten personalmente el trabajo o que únicamente intervengan en operaciones aisladas.
</t>
    </r>
    <r>
      <rPr>
        <b/>
        <sz val="11"/>
        <color theme="1"/>
        <rFont val="Arial"/>
        <family val="2"/>
      </rPr>
      <t>Artículo 286 LFT</t>
    </r>
    <r>
      <rPr>
        <sz val="11"/>
        <color theme="1"/>
        <rFont val="Arial"/>
        <family val="2"/>
      </rPr>
      <t>.- El salario a comisión puede comprender una prima sobre el valor de la mercancía vendida o colocada, sobre el pago inicial o sobre los pagos periódicos, o dos o las tres de dichas primas.</t>
    </r>
  </si>
  <si>
    <t>Modalidades de contratación donde no existe relación de trabajo</t>
  </si>
  <si>
    <t>Jubilación, pensión, retiro.</t>
  </si>
  <si>
    <t>Otro contrato</t>
  </si>
  <si>
    <t>Sindicalizado</t>
  </si>
  <si>
    <r>
      <t xml:space="preserve">Se debe registrar el valor “Sí”, únicamente cuando el trabajador este asociado a un sindicato dentro de la organización en la cual presta sus servicios. 
Se debe registrar el valor “No”, cuando el empleador realice el pago a contribuyentes asimilados a salarios, o a asalariados no sindicalizados.  
Ejemplo: 
Sindicalizado= Sí 
Fundamento Legal: Artículo 154 de la Ley Federal del Trabajo.
</t>
    </r>
    <r>
      <rPr>
        <b/>
        <sz val="11"/>
        <color theme="1"/>
        <rFont val="Aptos Narrow"/>
        <family val="2"/>
        <scheme val="minor"/>
      </rPr>
      <t>Fuente</t>
    </r>
    <r>
      <rPr>
        <sz val="11"/>
        <color theme="1"/>
        <rFont val="Aptos Narrow"/>
        <family val="2"/>
        <scheme val="minor"/>
      </rPr>
      <t xml:space="preserve">: Guía de llenado del CFDI de nómina (página 33)
</t>
    </r>
    <r>
      <rPr>
        <b/>
        <sz val="11"/>
        <color theme="1"/>
        <rFont val="Aptos Narrow"/>
        <family val="2"/>
        <scheme val="minor"/>
      </rPr>
      <t>Trabajador sindicalizado</t>
    </r>
    <r>
      <rPr>
        <sz val="11"/>
        <color theme="1"/>
        <rFont val="Aptos Narrow"/>
        <family val="2"/>
        <scheme val="minor"/>
      </rPr>
      <t xml:space="preserve">
Se entiende por sindicalizado a todo trabajador que se encuentre agremiado a cualquier organización sindical legalmente constituida.
</t>
    </r>
    <r>
      <rPr>
        <b/>
        <sz val="11"/>
        <color theme="1"/>
        <rFont val="Aptos Narrow"/>
        <family val="2"/>
        <scheme val="minor"/>
      </rPr>
      <t>Fundamento</t>
    </r>
    <r>
      <rPr>
        <sz val="11"/>
        <color theme="1"/>
        <rFont val="Aptos Narrow"/>
        <family val="2"/>
        <scheme val="minor"/>
      </rPr>
      <t>: Artículo 154 tercer párrafo LFT</t>
    </r>
  </si>
  <si>
    <r>
      <t xml:space="preserve">Se puede registrar la clave correspondiente al tipo de jornada que cubre el trabajador durante el desempeño de las actividades encomendadas por su 
empleador. Se debe registrar cuando se esté obligado conforme a las disposiciones aplicables.  
Las distintas claves de tipos de jornada se encuentran incluidas en el catálogo c_TipoJornada publicado en el Portal del SAT.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Fundamento Legal: Artículos 60 y 61 de la Ley Federal del Trabajo y 123, Apartado B), Fracción I de Ia Constitución Política de los Estados Unidos Mexicanos. 
</t>
    </r>
    <r>
      <rPr>
        <b/>
        <sz val="11"/>
        <color theme="1"/>
        <rFont val="Aptos Narrow"/>
        <family val="2"/>
        <scheme val="minor"/>
      </rPr>
      <t>Fuente</t>
    </r>
    <r>
      <rPr>
        <sz val="11"/>
        <color theme="1"/>
        <rFont val="Aptos Narrow"/>
        <family val="2"/>
        <scheme val="minor"/>
      </rPr>
      <t>: Guía de llenado del CFDI de nómina (página 33)</t>
    </r>
  </si>
  <si>
    <t>c_TipoJornada</t>
  </si>
  <si>
    <t>Art. 60 y 61 LFT</t>
  </si>
  <si>
    <t>Por hora</t>
  </si>
  <si>
    <t>Reducida</t>
  </si>
  <si>
    <t>Art. 58 y 59 LFT</t>
  </si>
  <si>
    <t>Continuada</t>
  </si>
  <si>
    <t>Art. 63 LFT</t>
  </si>
  <si>
    <t>Partida</t>
  </si>
  <si>
    <t>Art. 64 LFT</t>
  </si>
  <si>
    <t>Por turnos</t>
  </si>
  <si>
    <t>Art. 65 y 66 LFT</t>
  </si>
  <si>
    <t>Otra Jornada</t>
  </si>
  <si>
    <r>
      <rPr>
        <b/>
        <sz val="11"/>
        <color theme="1"/>
        <rFont val="Aptos Narrow"/>
        <family val="2"/>
        <scheme val="minor"/>
      </rPr>
      <t>Artículo 58 LFT.</t>
    </r>
    <r>
      <rPr>
        <sz val="11"/>
        <color theme="1"/>
        <rFont val="Aptos Narrow"/>
        <family val="2"/>
        <scheme val="minor"/>
      </rPr>
      <t xml:space="preserve">- Jornada de trabajo es el tiempo durante el cual el trabajador está a disposición del patrón para prestar su trabajo.
</t>
    </r>
    <r>
      <rPr>
        <b/>
        <sz val="11"/>
        <color theme="1"/>
        <rFont val="Aptos Narrow"/>
        <family val="2"/>
        <scheme val="minor"/>
      </rPr>
      <t>Artículo 59 LFT.</t>
    </r>
    <r>
      <rPr>
        <sz val="11"/>
        <color theme="1"/>
        <rFont val="Aptos Narrow"/>
        <family val="2"/>
        <scheme val="minor"/>
      </rPr>
      <t xml:space="preserve">- El trabajador y el patrón fijarán la duración de la jornada de trabajo, sin que pueda exceder los máximos legales.
Los trabajadores y el patrón podrán repartir las horas de trabajo, a fin de permitir a los primeros el reposo del sábado en la tarde o cualquier modalidad equivalente.
</t>
    </r>
    <r>
      <rPr>
        <b/>
        <sz val="11"/>
        <color theme="1"/>
        <rFont val="Aptos Narrow"/>
        <family val="2"/>
        <scheme val="minor"/>
      </rPr>
      <t>Artículo 60 LFT</t>
    </r>
    <r>
      <rPr>
        <sz val="11"/>
        <color theme="1"/>
        <rFont val="Aptos Narrow"/>
        <family val="2"/>
        <scheme val="minor"/>
      </rPr>
      <t xml:space="preserve">.- Jornada diurna es la comprendida entre las seis y las veinte horas.
Jornada nocturna es la comprendida entre las veinte y las seis horas.
Jornada mixta es la que comprende períodos de tiempo de las jornadas diurna y nocturna, siempre que el período nocturno sea menor de tres horas y media, pues si comprende tres y media o más, se reputará jornada nocturna.
</t>
    </r>
    <r>
      <rPr>
        <b/>
        <sz val="11"/>
        <color theme="1"/>
        <rFont val="Aptos Narrow"/>
        <family val="2"/>
        <scheme val="minor"/>
      </rPr>
      <t>Artículo 61 LFT</t>
    </r>
    <r>
      <rPr>
        <sz val="11"/>
        <color theme="1"/>
        <rFont val="Aptos Narrow"/>
        <family val="2"/>
        <scheme val="minor"/>
      </rPr>
      <t xml:space="preserve">.- La duración máxima de la jornada será: ocho horas la diurna, siete la nocturna y siete horas y media la mixta.
</t>
    </r>
    <r>
      <rPr>
        <b/>
        <sz val="11"/>
        <color theme="1"/>
        <rFont val="Aptos Narrow"/>
        <family val="2"/>
        <scheme val="minor"/>
      </rPr>
      <t>Artículo 63 LFT</t>
    </r>
    <r>
      <rPr>
        <sz val="11"/>
        <color theme="1"/>
        <rFont val="Aptos Narrow"/>
        <family val="2"/>
        <scheme val="minor"/>
      </rPr>
      <t xml:space="preserve">.- Durante la jornada continua de trabajo se concederá al trabajador un descanso de media hora, por lo menos.
</t>
    </r>
    <r>
      <rPr>
        <b/>
        <sz val="11"/>
        <color theme="1"/>
        <rFont val="Aptos Narrow"/>
        <family val="2"/>
        <scheme val="minor"/>
      </rPr>
      <t>Artículo 64 LFT.</t>
    </r>
    <r>
      <rPr>
        <sz val="11"/>
        <color theme="1"/>
        <rFont val="Aptos Narrow"/>
        <family val="2"/>
        <scheme val="minor"/>
      </rPr>
      <t>- Cuando el trabajador no pueda salir del lugar donde presta sus servicios durante las horas de reposo o de comidas, el tiempo correspondiente le será computado como tiempo efectivo de la jornada de trabajo.</t>
    </r>
  </si>
  <si>
    <t>Tipo de régimen</t>
  </si>
  <si>
    <r>
      <t xml:space="preserve">Se debe registrar la clave del régimen por la cual el empleador tiene contratado al trabajador. 
Los distintos tipos de régimen se encuentran incluidos en el catálogo c_TipoRegimen publicado en el Portal del SAT. 
 Ejemplo:   
TipoRegimen= 02
</t>
    </r>
    <r>
      <rPr>
        <b/>
        <sz val="11"/>
        <color theme="1"/>
        <rFont val="Aptos Narrow"/>
        <family val="2"/>
        <scheme val="minor"/>
      </rPr>
      <t>Fuente</t>
    </r>
    <r>
      <rPr>
        <sz val="11"/>
        <color theme="1"/>
        <rFont val="Aptos Narrow"/>
        <family val="2"/>
        <scheme val="minor"/>
      </rPr>
      <t xml:space="preserve">: Guía de llenado del CFDI de nómina (página 34) </t>
    </r>
  </si>
  <si>
    <t>c_TipoRegimen</t>
  </si>
  <si>
    <t>Sueldos (Incluye ingresos señalados en la fracción I del artículo 94 de LISR)</t>
  </si>
  <si>
    <t xml:space="preserve">Si el campo TipoContrato tiene una clave entre los valores 01 y 08 del catálogo TipoContrato publicado en el Portal del SAT, entonces este campo 
deber ser 02, 03 o 04. </t>
  </si>
  <si>
    <t>Jubilados</t>
  </si>
  <si>
    <t>Pensionados</t>
  </si>
  <si>
    <t>Asimilados Miembros Sociedades Cooperativas Produccion</t>
  </si>
  <si>
    <t>Si el campo TipoContrato tiene un valor 09 o superior, entonces este campo debe contener algún valor del 05 hasta el 99.</t>
  </si>
  <si>
    <t>Asimilados Integrantes Sociedades Asociaciones Civiles</t>
  </si>
  <si>
    <t>Asimilados Miembros consejos</t>
  </si>
  <si>
    <t>Asimilados comisionistas</t>
  </si>
  <si>
    <t>Asimilados Honorarios</t>
  </si>
  <si>
    <t>Asimilados acciones</t>
  </si>
  <si>
    <t>Asimilados otros</t>
  </si>
  <si>
    <t>Jubilados o Pensionados</t>
  </si>
  <si>
    <t>Indemnización o Separación</t>
  </si>
  <si>
    <t>Otro Regimen</t>
  </si>
  <si>
    <r>
      <t xml:space="preserve">Los pagos realizados por indemnizaciones o separaciones deberán identificarse con la clave tipo régimen 13 (Indemnización o Separación), esto con la finalidad 
de distinguir correctamente este tipo de pago de aquellos pagos ordinarios de salarios. 
En caso de que un trabajador se separe de su empleo y en un mismo periodo se efectúe tanto el pago por indemnización o separación y el último pago de sueldos ordinarios, se podrá emitir el o los CFDI conforme a lo siguiente:  
i) Dos CFDI, uno por el pago por indemnización o separación y otro por pago de sueldos, o bien,  
ii) Un sólo CFDI al que se incorporen dos complementos, uno por el pago por separación y otro por el pago de sueldos y salarios, señalando en 
cada caso la clave que corresponda conforme a este catálogo. 
</t>
    </r>
    <r>
      <rPr>
        <b/>
        <sz val="11"/>
        <color theme="1"/>
        <rFont val="Aptos Narrow"/>
        <family val="2"/>
        <scheme val="minor"/>
      </rPr>
      <t>Fundamento Legal:</t>
    </r>
    <r>
      <rPr>
        <sz val="11"/>
        <color theme="1"/>
        <rFont val="Aptos Narrow"/>
        <family val="2"/>
        <scheme val="minor"/>
      </rPr>
      <t xml:space="preserve"> Artículo 94 de la Ley del Impuesto sobre la Renta.
</t>
    </r>
    <r>
      <rPr>
        <b/>
        <sz val="11"/>
        <color theme="1"/>
        <rFont val="Aptos Narrow"/>
        <family val="2"/>
        <scheme val="minor"/>
      </rPr>
      <t>Fuente</t>
    </r>
    <r>
      <rPr>
        <sz val="11"/>
        <color theme="1"/>
        <rFont val="Aptos Narrow"/>
        <family val="2"/>
        <scheme val="minor"/>
      </rPr>
      <t xml:space="preserve">: Guía de llenado del CFDI de nómina (página 35) </t>
    </r>
  </si>
  <si>
    <t>Número de empleado</t>
  </si>
  <si>
    <r>
      <t xml:space="preserve">Se debe registrar el número interno que le asigna el empleador a cada uno de sus empleados para su pronta identificación, puede conformarse desde 1 hasta 
15 caracteres. 
Ejemplo:   
NumEmpleado= 120
</t>
    </r>
    <r>
      <rPr>
        <b/>
        <sz val="11"/>
        <color theme="1"/>
        <rFont val="Aptos Narrow"/>
        <family val="2"/>
        <scheme val="minor"/>
      </rPr>
      <t>Fuente:</t>
    </r>
    <r>
      <rPr>
        <sz val="11"/>
        <color theme="1"/>
        <rFont val="Aptos Narrow"/>
        <family val="2"/>
        <scheme val="minor"/>
      </rPr>
      <t xml:space="preserve"> Guía de llenado del CFDI de nómina (página 35) </t>
    </r>
  </si>
  <si>
    <t>Departamento</t>
  </si>
  <si>
    <r>
      <t xml:space="preserve">Se puede registrar el nombre del departamento o área a la que pertenece el trabajador a la que está asignado, es decir, en donde desarrolla sus funciones.  
En caso de laborar en distintos departamentos se registrará aquel en que haya desarrollado su labor por más tiempo en el periodo que ampara el comprobante, 
en caso de no ser posible determinar esto, se registrará el último departamento en que laboró en el periodo que ampara el comprobante. 
</t>
    </r>
    <r>
      <rPr>
        <b/>
        <sz val="11"/>
        <color theme="1"/>
        <rFont val="Aptos Narrow"/>
        <family val="2"/>
        <scheme val="minor"/>
      </rPr>
      <t>Fuente</t>
    </r>
    <r>
      <rPr>
        <sz val="11"/>
        <color theme="1"/>
        <rFont val="Aptos Narrow"/>
        <family val="2"/>
        <scheme val="minor"/>
      </rPr>
      <t xml:space="preserve">: Guía de llenado del CFDI de nómina (página 35)  </t>
    </r>
  </si>
  <si>
    <t>Puesto</t>
  </si>
  <si>
    <r>
      <t xml:space="preserve">Se puede registrar el nombre del puesto asignado al empleado o el nombre de la actividad que realiza. 
En caso de que durante el periodo que ampara el comprobante el trabajador haya cambiado de puesto se deberá consignar el último puesto ocupado. 
Ejemplo: 
Puesto= Velador
</t>
    </r>
    <r>
      <rPr>
        <b/>
        <sz val="11"/>
        <color theme="1"/>
        <rFont val="Aptos Narrow"/>
        <family val="2"/>
        <scheme val="minor"/>
      </rPr>
      <t>Fuente</t>
    </r>
    <r>
      <rPr>
        <sz val="11"/>
        <color theme="1"/>
        <rFont val="Aptos Narrow"/>
        <family val="2"/>
        <scheme val="minor"/>
      </rPr>
      <t xml:space="preserve">: Guía de llenado del CFDI de nómina (página 35)  </t>
    </r>
  </si>
  <si>
    <t>Riesgo de puesto</t>
  </si>
  <si>
    <r>
      <t xml:space="preserve">Se puede registrar la clave conforme a la clase en que está inscrito el empleador, de acuerdo con las actividades que desempeñan sus trabajadores, según lo 
previsto en el artículo 196 del Reglamento en Materia de Afiliación Clasificación de Empresas, Recaudación y Fiscalización, o conforme con la Normatividad del 
Instituto de Seguridad Social del trabajador.  
Se debe registrar cuando se esté obligado conforme a las disposiciones aplicables. 
Las claves de las distintas clases de riesgos de puestos, se encuentran incluidas en el catálogo c_RiesgoPuesto publicado en el Portal del SAT. 
En caso de trabajadores que no se encuentren afiliados al IMSS, en este campo se deberá registrar la clave 99 “No aplica” del catálogo c_RiesgoPuesto.
</t>
    </r>
    <r>
      <rPr>
        <b/>
        <sz val="11"/>
        <color theme="1"/>
        <rFont val="Aptos Narrow"/>
        <family val="2"/>
        <scheme val="minor"/>
      </rPr>
      <t>Fuente:</t>
    </r>
    <r>
      <rPr>
        <sz val="11"/>
        <color theme="1"/>
        <rFont val="Aptos Narrow"/>
        <family val="2"/>
        <scheme val="minor"/>
      </rPr>
      <t xml:space="preserve"> Guía de llenado del CFDI de nómina (página 36)  </t>
    </r>
  </si>
  <si>
    <t>Periodicidad de pago</t>
  </si>
  <si>
    <r>
      <t xml:space="preserve">Se debe registrar la clave de periodicidad de pago en que se realiza el pago del  salario al empleado o trabajador asimilado.
En el caso de que en un mismo comprobante se incluya nómina ordinaria y un  concepto extraordinario, por ejemplo, para la última quincena se realiza el pago del sueldo más el finiquito, con periodicidad de pago como ordinaria, entonces en campo PeriodicidadPago se debe ingresar la clave “04” quincenal correspondiente al pago de nómina ordinaria.
Las claves de periodicidad de pago se encuentran incluidas en el catálogo c_PeriodicidadPago publicado en el Portal del SAT.
</t>
    </r>
    <r>
      <rPr>
        <b/>
        <sz val="11"/>
        <color theme="1"/>
        <rFont val="Aptos Narrow"/>
        <family val="2"/>
        <scheme val="minor"/>
      </rPr>
      <t xml:space="preserve">Fuente: </t>
    </r>
    <r>
      <rPr>
        <sz val="11"/>
        <color theme="1"/>
        <rFont val="Aptos Narrow"/>
        <family val="2"/>
        <scheme val="minor"/>
      </rPr>
      <t>Guía de llenado del CFDI de nómina (página 37)</t>
    </r>
  </si>
  <si>
    <t>c_PeriodicidadPago</t>
  </si>
  <si>
    <t>Diario</t>
  </si>
  <si>
    <r>
      <rPr>
        <b/>
        <sz val="11"/>
        <color theme="1"/>
        <rFont val="Aptos Narrow"/>
        <family val="2"/>
        <scheme val="minor"/>
      </rPr>
      <t>Artículo 88 LFT</t>
    </r>
    <r>
      <rPr>
        <sz val="11"/>
        <color theme="1"/>
        <rFont val="Aptos Narrow"/>
        <family val="2"/>
        <scheme val="minor"/>
      </rPr>
      <t>.- Los plazos para el pago del salario nunca podrán ser mayores de una semana para las personas que desempeñan un trabajo material y de quince días para los demás trabajadores.</t>
    </r>
  </si>
  <si>
    <t>Semanal</t>
  </si>
  <si>
    <t>Catorcenal</t>
  </si>
  <si>
    <t>Quincenal</t>
  </si>
  <si>
    <t>Mensual</t>
  </si>
  <si>
    <t>Bimestral</t>
  </si>
  <si>
    <t>Unidad obra</t>
  </si>
  <si>
    <t>Comisión</t>
  </si>
  <si>
    <t>Precio alzado</t>
  </si>
  <si>
    <t>Decenal</t>
  </si>
  <si>
    <t>Otra Periodicidad</t>
  </si>
  <si>
    <t>Banco</t>
  </si>
  <si>
    <r>
      <t xml:space="preserve">Se puede registrar la clave del banco en donde el empleador realiza el depósito de la nómina al trabajador o asimilado a salarios.  
Las claves de los distintos bancos se encuentran incluidas en el catálogo c_Banco publicado en el Portal del SAT. 
Ejemplo:  
Banco= 002
</t>
    </r>
    <r>
      <rPr>
        <b/>
        <sz val="11"/>
        <color theme="1"/>
        <rFont val="Aptos Narrow"/>
        <family val="2"/>
        <scheme val="minor"/>
      </rPr>
      <t xml:space="preserve">Fuente: </t>
    </r>
    <r>
      <rPr>
        <sz val="11"/>
        <color theme="1"/>
        <rFont val="Aptos Narrow"/>
        <family val="2"/>
        <scheme val="minor"/>
      </rPr>
      <t xml:space="preserve">Guía de llenado del CFDI de nómina (página 38)
</t>
    </r>
    <r>
      <rPr>
        <b/>
        <sz val="11"/>
        <color theme="1"/>
        <rFont val="Aptos Narrow"/>
        <family val="2"/>
        <scheme val="minor"/>
      </rPr>
      <t>Artículo 101 LFT</t>
    </r>
    <r>
      <rPr>
        <sz val="11"/>
        <color theme="1"/>
        <rFont val="Aptos Narrow"/>
        <family val="2"/>
        <scheme val="minor"/>
      </rPr>
      <t>.- El salario en efectivo deberá pagarse precisamente en moneda de curso legal, no siendo permitido hacerlo en mercancías, vales, fichas o cualquier otro signo representativo con que se pretenda substituir la moneda.
Previo consentimiento del trabajador, el pago del salario podrá efectuarse por medio de depósito en cuenta bancaria, tarjeta de débito, transferencias o cualquier otro medio electrónico. Los gastos o costos que originen estos medios alternativos de pago serán cubiertos por el patrón.
En todos los casos, el trabajador deberá tener acceso a la información detallada de los conceptos y deducciones de pago. Los recibos de pago deberán entregarse al trabajador en forma impresa o por cualquier otro medio, sin perjuicio de que el patrón lo deba entregar en documento impreso cuando el trabajador así lo requiera.
Los recibos impresos deberán contener firma autógrafa del trabajador para su validez; los recibos de pago contenidos en comprobantes fiscales digitales por Internet (CFDI) pueden sustituir a los recibos impresos; el contenido de un CFDI hará prueba si se verifica en el portal de Internet del Servicio de Administración Tributaria, en caso de ser validado se estará a lo dispuesto en la fracción I del artículo 836-D de esta Ley.</t>
    </r>
  </si>
  <si>
    <t>Cuenta bancaria</t>
  </si>
  <si>
    <r>
      <t xml:space="preserve">Se puede registrar el número de cuenta bancaria (11 posiciones), número de teléfono celular (10 posiciones), número de tarjeta de crédito, débito o de servicios (15 o 16 posiciones), la CLABE (18 posiciones), o número de monedero electrónico, en donde el empleador realiza el depósito de la nómina al trabajador.
</t>
    </r>
    <r>
      <rPr>
        <b/>
        <sz val="11"/>
        <color theme="1"/>
        <rFont val="Aptos Narrow"/>
        <family val="2"/>
        <scheme val="minor"/>
      </rPr>
      <t>Fuente:</t>
    </r>
    <r>
      <rPr>
        <sz val="11"/>
        <color theme="1"/>
        <rFont val="Aptos Narrow"/>
        <family val="2"/>
        <scheme val="minor"/>
      </rPr>
      <t xml:space="preserve"> Guía de llenado del CFDI de nómina (página 38)</t>
    </r>
  </si>
  <si>
    <t>Salario base cuota aportación</t>
  </si>
  <si>
    <r>
      <t xml:space="preserve">Se puede registrar el importe de la retribución otorgada al trabajador, que se integra por los pagos hechos en efectivo por cuota diaria, gratificaciones, percepciones, alimentación, habitación, primas, comisiones, prestaciones en 
especie y cualquiera otra cantidad o prestación que se entregue al trabajador por su trabajo, sin considerar los conceptos que se excluyen de conformidad con el artículo 27 de la Ley del Seguro Social, o la integración de los pagos conforme la 
normatividad del Instituto de Seguridad Social del trabajador. (Se emplea para pagar las cuotas y aportaciones de Seguridad Social).  
Se debe registrar cuando se esté obligado conforme a las disposiciones aplicables. 
Ejemplo:  
SalarioBaseCotApor= 490.22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t>
    </r>
    <r>
      <rPr>
        <b/>
        <sz val="11"/>
        <color theme="1"/>
        <rFont val="Aptos Narrow"/>
        <family val="2"/>
        <scheme val="minor"/>
      </rPr>
      <t>Fundamento Legal</t>
    </r>
    <r>
      <rPr>
        <sz val="11"/>
        <color theme="1"/>
        <rFont val="Aptos Narrow"/>
        <family val="2"/>
        <scheme val="minor"/>
      </rPr>
      <t xml:space="preserve">: Artículo 27 de la Ley del Seguro Social.
</t>
    </r>
    <r>
      <rPr>
        <b/>
        <sz val="11"/>
        <color theme="1"/>
        <rFont val="Aptos Narrow"/>
        <family val="2"/>
        <scheme val="minor"/>
      </rPr>
      <t>Fuente</t>
    </r>
    <r>
      <rPr>
        <sz val="11"/>
        <color theme="1"/>
        <rFont val="Aptos Narrow"/>
        <family val="2"/>
        <scheme val="minor"/>
      </rPr>
      <t>: Guía de llenado del CFDI de nómina (página 39 y 40)</t>
    </r>
  </si>
  <si>
    <t>Salario diario integrado</t>
  </si>
  <si>
    <r>
      <t xml:space="preserve">Se puede registrar el importe del salario que se integra con los pagos hechos en efectivo por cuota diaria, gratificaciones, percepciones, habitación, primas, comisiones, prestaciones en especie y cualquier otra cantidad o prestación que se entregue al trabajador por su trabajo, de conformidad con el Art. 84 de la Ley Federal del Trabajo. (Se utiliza para el cálculo de las indemnizaciones).  
Si se trata de relaciones laborales no sujetas a la Ley Federal del Trabajo, aquí se asentará el salario que sirva de base de cotización para el cálculo de indemnizaciones. 
Se debe registrar cuando se esté obligado conforme a las disposiciones aplicables. 
Ejemplo:  
SalarioDiarioIntegrado= 146.47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t>
    </r>
    <r>
      <rPr>
        <b/>
        <sz val="11"/>
        <color theme="1"/>
        <rFont val="Aptos Narrow"/>
        <family val="2"/>
        <scheme val="minor"/>
      </rPr>
      <t>Fundamento Legal</t>
    </r>
    <r>
      <rPr>
        <sz val="11"/>
        <color theme="1"/>
        <rFont val="Aptos Narrow"/>
        <family val="2"/>
        <scheme val="minor"/>
      </rPr>
      <t xml:space="preserve">: Artículo 84 de la Ley Federal del Trabajo. 
</t>
    </r>
    <r>
      <rPr>
        <b/>
        <sz val="11"/>
        <color theme="1"/>
        <rFont val="Aptos Narrow"/>
        <family val="2"/>
        <scheme val="minor"/>
      </rPr>
      <t>Fuente</t>
    </r>
    <r>
      <rPr>
        <sz val="11"/>
        <color theme="1"/>
        <rFont val="Aptos Narrow"/>
        <family val="2"/>
        <scheme val="minor"/>
      </rPr>
      <t>: Guía de llenado del CFDI de nómina (página  40)</t>
    </r>
  </si>
  <si>
    <t>Clave entidad federativa</t>
  </si>
  <si>
    <r>
      <t xml:space="preserve">Se debe registrar la clave de la entidad federativa en donde el trabajador prestó sus servicios al empleador.  
Si el trabajador prestó servicio en distintas entidades federativas durante el período que ampara el comprobante, se deberá incluir la clave de aquella 
entidad en dónde prestó la mayor parte del servicio. En caso de no ser posible identificar la entidad en que prestó la mayor cantidad del servicio, se podrá poner 
la clave de la última entidad en que los prestó.  
Las claves de las distintas entidades federativas se encuentran incluidas en el catálogo c_Estado publicado en el Portal del SAT. 
Ejemplo:  
ClaveEntFed= AGU
</t>
    </r>
    <r>
      <rPr>
        <b/>
        <sz val="11"/>
        <color theme="1"/>
        <rFont val="Aptos Narrow"/>
        <family val="2"/>
        <scheme val="minor"/>
      </rPr>
      <t xml:space="preserve">Fuente: </t>
    </r>
    <r>
      <rPr>
        <sz val="11"/>
        <color theme="1"/>
        <rFont val="Aptos Narrow"/>
        <family val="2"/>
        <scheme val="minor"/>
      </rPr>
      <t>Guía de llenado del CFDI de nómina (página  41)</t>
    </r>
  </si>
  <si>
    <t>Unidad de obra</t>
  </si>
  <si>
    <t>Período de Trabajo</t>
  </si>
  <si>
    <t>Días Trabajados</t>
  </si>
  <si>
    <t>Metros Cuadrados Instalados</t>
  </si>
  <si>
    <t>Cuota por metro cuadrado</t>
  </si>
  <si>
    <t>Percepción Total</t>
  </si>
  <si>
    <t>Salario diario promedio</t>
  </si>
  <si>
    <t>Determinción cuando la retribución es variable</t>
  </si>
  <si>
    <t>Fecha inicial cálculo</t>
  </si>
  <si>
    <t>Fecha de aumento (en su caso)</t>
  </si>
  <si>
    <t>Periodo trabajado</t>
  </si>
  <si>
    <t>Percepciones pagadas</t>
  </si>
  <si>
    <t>Total</t>
  </si>
  <si>
    <t>Plantilla para Determinar el Salario Base de Cotización (SBC) - México</t>
  </si>
  <si>
    <t>1) Entradas (editar celdas con relleno de color verde)</t>
  </si>
  <si>
    <t>Otras prestaciones fijas prviamente conocidas</t>
  </si>
  <si>
    <t>Patrón</t>
  </si>
  <si>
    <t>Trabajador</t>
  </si>
  <si>
    <t>% Fondo de ahorro</t>
  </si>
  <si>
    <t>Salario diario pactado (SD)</t>
  </si>
  <si>
    <t>Sí</t>
  </si>
  <si>
    <t>Aguinaldo (días por año)</t>
  </si>
  <si>
    <t>Alimentación que se otorga</t>
  </si>
  <si>
    <t>Vacaciones (días por año)</t>
  </si>
  <si>
    <t>Despensa otrogada $</t>
  </si>
  <si>
    <t>Prima vacacional (%)</t>
  </si>
  <si>
    <t>UMA diaria (ingrese la vigente)</t>
  </si>
  <si>
    <t>2) Cálculos</t>
  </si>
  <si>
    <t>Factor de integración (FI) por prestaciones mínimas:</t>
  </si>
  <si>
    <t>Salario fijo integrado diario (SDI fijo) = SD × FI</t>
  </si>
  <si>
    <t>Fondo de ahorro</t>
  </si>
  <si>
    <t>Alimentación</t>
  </si>
  <si>
    <t>Despensa</t>
  </si>
  <si>
    <t>Tope diario IMSS = 25 × UMA diaria</t>
  </si>
  <si>
    <t>Salario base de cotización en jornada reducida</t>
  </si>
  <si>
    <t>Cuota por hora que se paga</t>
  </si>
  <si>
    <t>Días de la semana</t>
  </si>
  <si>
    <t>Horas trabajadas</t>
  </si>
  <si>
    <t>Total percibido por cada unidad de tiempo</t>
  </si>
  <si>
    <t>Lunes</t>
  </si>
  <si>
    <t>Martes</t>
  </si>
  <si>
    <t>Miércoles</t>
  </si>
  <si>
    <t>Jueves</t>
  </si>
  <si>
    <t>Viernes</t>
  </si>
  <si>
    <t>Sábado</t>
  </si>
  <si>
    <t>Domingo</t>
  </si>
  <si>
    <t>Total pagado</t>
  </si>
  <si>
    <t>(=) SBC</t>
  </si>
  <si>
    <t>Salario base de cotización IMSS</t>
  </si>
  <si>
    <t>Salario base de cotización en semana reducida</t>
  </si>
  <si>
    <t>Días que trabaja</t>
  </si>
  <si>
    <t>(+) Séptimo día</t>
  </si>
  <si>
    <t>(=) Base para SBC</t>
  </si>
  <si>
    <t>(x) Factor de integración</t>
  </si>
  <si>
    <t>Modalidad</t>
  </si>
  <si>
    <t>Salario base de cotización / Base</t>
  </si>
  <si>
    <t>Salario en veces del sm</t>
  </si>
  <si>
    <t>% del aviso de retención</t>
  </si>
  <si>
    <t>% / Factor / Cuota</t>
  </si>
  <si>
    <t>UMI/SM</t>
  </si>
  <si>
    <t>Días cotizados</t>
  </si>
  <si>
    <t>Cálculo Diario</t>
  </si>
  <si>
    <t>Subtotal</t>
  </si>
  <si>
    <t>Seguro</t>
  </si>
  <si>
    <t>Resultado</t>
  </si>
  <si>
    <t>Porcentaje</t>
  </si>
  <si>
    <t>VSM</t>
  </si>
  <si>
    <t>Salario del trabajador (en veces el Salario Mínimo)</t>
  </si>
  <si>
    <t>20% (Aviso)</t>
  </si>
  <si>
    <t>25% (Aviso)</t>
  </si>
  <si>
    <t>30% (Aviso)</t>
  </si>
  <si>
    <t>De</t>
  </si>
  <si>
    <t>Tabla de vacaciones convertida a Excel</t>
  </si>
  <si>
    <t>Mínimo</t>
  </si>
  <si>
    <t>Máximo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</si>
</sst>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164" formatCode="&quot;$&quot;#,##0.00"/>
    <numFmt numFmtId="165" formatCode="0.0"/>
    <numFmt numFmtId="166" formatCode="000"/>
    <numFmt numFmtId="167" formatCode="\$#,##0.00"/>
    <numFmt numFmtId="168" formatCode="0.000%"/>
    <numFmt numFmtId="169" formatCode="00"/>
    <numFmt numFmtId="170" formatCode="&quot;&quot;"/>
    <numFmt numFmtId="171" formatCode="#,##0.0000"/>
  </numFmts>
  <fonts count="46" x14ac:knownFonts="1">
    <font>
      <sz val="11"/>
      <color theme="1"/>
      <name val="Aptos Narrow"/>
      <family val="2"/>
      <scheme val="minor"/>
    </font>
    <font>
      <b/>
      <sz val="11"/>
      <color theme="1"/>
      <name val="Aptos Narrow"/>
      <family val="2"/>
      <scheme val="minor"/>
    </font>
    <font>
      <b/>
      <sz val="16"/>
      <color rgb="FFFFFFFF"/>
      <name val="Aptos Narrow"/>
      <family val="2"/>
      <scheme val="minor"/>
    </font>
    <font>
      <i/>
      <sz val="10"/>
      <color theme="1"/>
      <name val="Aptos Narrow"/>
      <family val="2"/>
      <scheme val="minor"/>
    </font>
    <font>
      <b/>
      <sz val="14"/>
      <color rgb="FFFFFFFF"/>
      <name val="Aptos Narrow"/>
      <family val="2"/>
      <scheme val="minor"/>
    </font>
    <font>
      <b/>
      <sz val="12"/>
      <color theme="1"/>
      <name val="Aptos Narrow"/>
      <family val="2"/>
      <scheme val="minor"/>
    </font>
    <font>
      <b/>
      <sz val="11"/>
      <color rgb="FFFFFFFF"/>
      <name val="Aptos Narrow"/>
      <family val="2"/>
      <scheme val="minor"/>
    </font>
    <font>
      <b/>
      <sz val="12"/>
      <color rgb="FFFFFFFF"/>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9"/>
      <color indexed="81"/>
      <name val="Tahoma"/>
      <family val="2"/>
    </font>
    <font>
      <b/>
      <sz val="11"/>
      <color theme="0" tint="-4.9989318521683403E-2"/>
      <name val="Aptos Narrow"/>
      <family val="2"/>
      <scheme val="minor"/>
    </font>
    <font>
      <sz val="11"/>
      <color theme="1"/>
      <name val="Arial"/>
      <family val="2"/>
    </font>
    <font>
      <sz val="11"/>
      <name val="Arial"/>
      <family val="2"/>
    </font>
    <font>
      <b/>
      <sz val="11"/>
      <color rgb="FFFFFF00"/>
      <name val="Aptos Narrow"/>
      <family val="2"/>
      <scheme val="minor"/>
    </font>
    <font>
      <b/>
      <sz val="11"/>
      <color rgb="FFFF0000"/>
      <name val="Aptos Narrow"/>
      <family val="2"/>
      <scheme val="minor"/>
    </font>
    <font>
      <u/>
      <sz val="11"/>
      <color theme="10"/>
      <name val="Aptos Narrow"/>
      <family val="2"/>
      <scheme val="minor"/>
    </font>
    <font>
      <b/>
      <sz val="12.5"/>
      <color rgb="FFFFFF00"/>
      <name val="Aptos Narrow"/>
      <family val="2"/>
      <scheme val="minor"/>
    </font>
    <font>
      <b/>
      <sz val="11"/>
      <color rgb="FFC00000"/>
      <name val="Aptos Narrow"/>
      <family val="2"/>
      <scheme val="minor"/>
    </font>
    <font>
      <b/>
      <sz val="11"/>
      <color theme="1"/>
      <name val="Arial"/>
      <family val="2"/>
    </font>
    <font>
      <sz val="11"/>
      <color rgb="FFFFFF00"/>
      <name val="Aptos Narrow"/>
      <family val="2"/>
      <scheme val="minor"/>
    </font>
    <font>
      <sz val="11"/>
      <color theme="1"/>
      <name val="Marlett"/>
      <charset val="2"/>
    </font>
    <font>
      <sz val="12"/>
      <color theme="1"/>
      <name val="Aptos Narrow"/>
      <family val="2"/>
      <scheme val="minor"/>
    </font>
    <font>
      <b/>
      <u/>
      <sz val="12"/>
      <color rgb="FF0000FF"/>
      <name val="Arial"/>
      <family val="2"/>
    </font>
    <font>
      <b/>
      <sz val="12"/>
      <color rgb="FF0000FF"/>
      <name val="Aptos Narrow"/>
      <family val="2"/>
      <scheme val="minor"/>
    </font>
    <font>
      <b/>
      <u/>
      <sz val="12"/>
      <color rgb="FFC00000"/>
      <name val="Arial"/>
      <family val="2"/>
    </font>
    <font>
      <b/>
      <u/>
      <sz val="11"/>
      <color rgb="FF0033CC"/>
      <name val="Aptos Narrow"/>
      <family val="2"/>
      <scheme val="minor"/>
    </font>
    <font>
      <sz val="11"/>
      <color indexed="8"/>
      <name val="Arial"/>
      <family val="2"/>
    </font>
    <font>
      <b/>
      <sz val="10"/>
      <color theme="1"/>
      <name val="Arial"/>
      <family val="2"/>
    </font>
    <font>
      <sz val="10"/>
      <color theme="1"/>
      <name val="Arial"/>
      <family val="2"/>
    </font>
    <font>
      <sz val="10"/>
      <color theme="1"/>
      <name val="Aptos Narrow"/>
      <family val="2"/>
      <scheme val="minor"/>
    </font>
    <font>
      <sz val="10"/>
      <color rgb="FF000000"/>
      <name val="Arial"/>
      <family val="2"/>
    </font>
    <font>
      <b/>
      <u/>
      <sz val="11"/>
      <color theme="0"/>
      <name val="Aptos Narrow"/>
      <family val="2"/>
      <scheme val="minor"/>
    </font>
    <font>
      <b/>
      <sz val="11"/>
      <color rgb="FF0033CC"/>
      <name val="Aptos Narrow"/>
      <family val="2"/>
      <scheme val="minor"/>
    </font>
    <font>
      <sz val="11"/>
      <color theme="4" tint="-0.499984740745262"/>
      <name val="Aptos Narrow"/>
      <family val="2"/>
      <scheme val="minor"/>
    </font>
    <font>
      <b/>
      <sz val="11"/>
      <color theme="4" tint="-0.499984740745262"/>
      <name val="Aptos Narrow"/>
      <family val="2"/>
      <scheme val="minor"/>
    </font>
    <font>
      <b/>
      <sz val="11"/>
      <color theme="9" tint="-0.499984740745262"/>
      <name val="Aptos Narrow"/>
      <family val="2"/>
      <scheme val="minor"/>
    </font>
    <font>
      <b/>
      <sz val="11"/>
      <color theme="6" tint="-0.499984740745262"/>
      <name val="Aptos Narrow"/>
      <family val="2"/>
      <scheme val="minor"/>
    </font>
    <font>
      <sz val="10"/>
      <name val="MS Sans Serif"/>
      <family val="2"/>
    </font>
    <font>
      <b/>
      <sz val="9"/>
      <color indexed="10"/>
      <name val="Tahoma"/>
      <family val="2"/>
    </font>
    <font>
      <b/>
      <sz val="11"/>
      <color rgb="FF1F1F1F"/>
      <name val="Arial"/>
      <family val="2"/>
    </font>
    <font>
      <sz val="11"/>
      <color rgb="FF1F1F1F"/>
      <name val="Arial"/>
      <family val="2"/>
    </font>
    <font>
      <b/>
      <sz val="14"/>
      <color theme="1"/>
      <name val="Aptos Narrow"/>
      <family val="2"/>
      <scheme val="minor"/>
    </font>
    <font>
      <sz val="11"/>
      <color theme="1"/>
      <name val="Segoe UI"/>
      <family val="2"/>
    </font>
    <font>
      <sz val="11"/>
      <color theme="1"/>
      <name val="Calibri"/>
      <family val="2"/>
    </font>
  </fonts>
  <fills count="42">
    <fill>
      <patternFill patternType="none"/>
    </fill>
    <fill>
      <patternFill patternType="gray125"/>
    </fill>
    <fill>
      <patternFill patternType="solid">
        <fgColor rgb="FF1F4E79"/>
        <bgColor indexed="64"/>
      </patternFill>
    </fill>
    <fill>
      <patternFill patternType="solid">
        <fgColor rgb="FFD6DCE4"/>
        <bgColor indexed="64"/>
      </patternFill>
    </fill>
    <fill>
      <patternFill patternType="solid">
        <fgColor rgb="FF2E75B6"/>
        <bgColor indexed="64"/>
      </patternFill>
    </fill>
    <fill>
      <patternFill patternType="solid">
        <fgColor rgb="FFC45911"/>
        <bgColor indexed="64"/>
      </patternFill>
    </fill>
    <fill>
      <patternFill patternType="solid">
        <fgColor rgb="FFFCE4D6"/>
        <bgColor indexed="64"/>
      </patternFill>
    </fill>
    <fill>
      <patternFill patternType="solid">
        <fgColor rgb="FF375623"/>
        <bgColor indexed="64"/>
      </patternFill>
    </fill>
    <fill>
      <patternFill patternType="solid">
        <fgColor rgb="FFA9D08E"/>
        <bgColor indexed="64"/>
      </patternFill>
    </fill>
    <fill>
      <patternFill patternType="solid">
        <fgColor rgb="FF548235"/>
        <bgColor indexed="64"/>
      </patternFill>
    </fill>
    <fill>
      <patternFill patternType="solid">
        <fgColor rgb="FFBDD7EE"/>
        <bgColor indexed="64"/>
      </patternFill>
    </fill>
    <fill>
      <patternFill patternType="solid">
        <fgColor rgb="FFE2EFDA"/>
        <bgColor indexed="64"/>
      </patternFill>
    </fill>
    <fill>
      <patternFill patternType="solid">
        <fgColor rgb="FFC6EFCE"/>
        <bgColor indexed="64"/>
      </patternFill>
    </fill>
    <fill>
      <patternFill patternType="solid">
        <fgColor rgb="FFFFF2CC"/>
        <bgColor indexed="64"/>
      </patternFill>
    </fill>
    <fill>
      <patternFill patternType="solid">
        <fgColor rgb="FFD9E1F2"/>
        <bgColor indexed="64"/>
      </patternFill>
    </fill>
    <fill>
      <patternFill patternType="solid">
        <fgColor rgb="FF4472C4"/>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C00000"/>
        <bgColor indexed="64"/>
      </patternFill>
    </fill>
    <fill>
      <patternFill patternType="solid">
        <fgColor rgb="FFFFC00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rgb="FF669900"/>
        <bgColor indexed="64"/>
      </patternFill>
    </fill>
    <fill>
      <patternFill patternType="solid">
        <fgColor rgb="FFCCFF99"/>
        <bgColor indexed="64"/>
      </patternFill>
    </fill>
    <fill>
      <patternFill patternType="solid">
        <fgColor rgb="FFFFFF00"/>
        <bgColor indexed="64"/>
      </patternFill>
    </fill>
    <fill>
      <patternFill patternType="solid">
        <fgColor theme="0" tint="-0.249977111117893"/>
        <bgColor indexed="64"/>
      </patternFill>
    </fill>
    <fill>
      <patternFill patternType="solid">
        <fgColor rgb="FF0033CC"/>
        <bgColor indexed="64"/>
      </patternFill>
    </fill>
    <fill>
      <patternFill patternType="solid">
        <fgColor theme="6" tint="-0.499984740745262"/>
        <bgColor indexed="64"/>
      </patternFill>
    </fill>
    <fill>
      <patternFill patternType="solid">
        <fgColor theme="3" tint="0.749992370372631"/>
        <bgColor indexed="64"/>
      </patternFill>
    </fill>
    <fill>
      <patternFill patternType="solid">
        <fgColor rgb="FFFF0000"/>
        <bgColor indexed="64"/>
      </patternFill>
    </fill>
    <fill>
      <patternFill patternType="solid">
        <fgColor theme="0" tint="-0.499984740745262"/>
        <bgColor indexed="64"/>
      </patternFill>
    </fill>
    <fill>
      <patternFill patternType="solid">
        <fgColor theme="3" tint="0.249977111117893"/>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style="double">
        <color auto="1"/>
      </top>
      <bottom style="thin">
        <color auto="1"/>
      </bottom>
      <diagonal/>
    </border>
    <border>
      <left/>
      <right/>
      <top/>
      <bottom style="thin">
        <color auto="1"/>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thin">
        <color indexed="64"/>
      </top>
      <bottom style="double">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rgb="FF000000"/>
      </top>
      <bottom/>
      <diagonal/>
    </border>
    <border>
      <left/>
      <right/>
      <top/>
      <bottom style="double">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9" fontId="8" fillId="0" borderId="0" applyFont="0" applyFill="0" applyBorder="0" applyAlignment="0" applyProtection="0"/>
    <xf numFmtId="0" fontId="17" fillId="0" borderId="0" applyNumberFormat="0" applyFill="0" applyBorder="0" applyAlignment="0" applyProtection="0"/>
    <xf numFmtId="0" fontId="39" fillId="0" borderId="0"/>
  </cellStyleXfs>
  <cellXfs count="352">
    <xf numFmtId="0" fontId="0" fillId="0" borderId="0" xfId="0"/>
    <xf numFmtId="0" fontId="3" fillId="3" borderId="0" xfId="0" applyFont="1" applyFill="1"/>
    <xf numFmtId="0" fontId="0" fillId="0" borderId="1" xfId="0" applyBorder="1"/>
    <xf numFmtId="0" fontId="0" fillId="0" borderId="1" xfId="0" applyBorder="1" applyAlignment="1">
      <alignment horizontal="center"/>
    </xf>
    <xf numFmtId="0" fontId="5" fillId="8" borderId="0" xfId="0" applyFont="1" applyFill="1"/>
    <xf numFmtId="0" fontId="5" fillId="10" borderId="0" xfId="0" applyFont="1" applyFill="1"/>
    <xf numFmtId="0" fontId="5" fillId="6" borderId="0" xfId="0" applyFont="1" applyFill="1"/>
    <xf numFmtId="0" fontId="6" fillId="9" borderId="1" xfId="0" applyFont="1" applyFill="1" applyBorder="1" applyAlignment="1">
      <alignment horizontal="center"/>
    </xf>
    <xf numFmtId="0" fontId="6" fillId="4" borderId="1" xfId="0" applyFont="1" applyFill="1" applyBorder="1" applyAlignment="1">
      <alignment horizontal="center"/>
    </xf>
    <xf numFmtId="0" fontId="6" fillId="5" borderId="1" xfId="0" applyFont="1" applyFill="1" applyBorder="1" applyAlignment="1">
      <alignment horizontal="center"/>
    </xf>
    <xf numFmtId="164" fontId="0" fillId="0" borderId="0" xfId="0" applyNumberFormat="1"/>
    <xf numFmtId="0" fontId="1" fillId="14" borderId="2" xfId="0" applyFont="1" applyFill="1" applyBorder="1"/>
    <xf numFmtId="165" fontId="1" fillId="14" borderId="2" xfId="0" applyNumberFormat="1" applyFont="1" applyFill="1" applyBorder="1" applyAlignment="1">
      <alignment horizontal="center"/>
    </xf>
    <xf numFmtId="0" fontId="7" fillId="15" borderId="1" xfId="0" applyFont="1" applyFill="1" applyBorder="1"/>
    <xf numFmtId="0" fontId="1" fillId="3" borderId="1" xfId="0" applyFont="1" applyFill="1" applyBorder="1"/>
    <xf numFmtId="164" fontId="1" fillId="3" borderId="1" xfId="0" applyNumberFormat="1" applyFont="1" applyFill="1" applyBorder="1"/>
    <xf numFmtId="0" fontId="6" fillId="4" borderId="1" xfId="0" applyFont="1" applyFill="1" applyBorder="1" applyAlignment="1">
      <alignment horizontal="center" vertical="center" wrapText="1"/>
    </xf>
    <xf numFmtId="0" fontId="0" fillId="17" borderId="1" xfId="0" applyFill="1" applyBorder="1" applyAlignment="1">
      <alignment horizontal="center"/>
    </xf>
    <xf numFmtId="164" fontId="0" fillId="17" borderId="1" xfId="0" applyNumberFormat="1" applyFill="1" applyBorder="1"/>
    <xf numFmtId="0" fontId="0" fillId="18" borderId="1" xfId="0" applyFill="1" applyBorder="1"/>
    <xf numFmtId="0" fontId="6" fillId="5" borderId="1" xfId="0" applyFont="1" applyFill="1" applyBorder="1" applyAlignment="1">
      <alignment horizontal="center" vertical="center" wrapText="1"/>
    </xf>
    <xf numFmtId="0" fontId="1" fillId="19" borderId="1" xfId="0" applyFont="1" applyFill="1" applyBorder="1" applyAlignment="1">
      <alignment horizontal="center" vertical="center" wrapText="1"/>
    </xf>
    <xf numFmtId="0" fontId="10" fillId="0" borderId="0" xfId="0" applyFont="1"/>
    <xf numFmtId="0" fontId="0" fillId="17" borderId="1" xfId="0" applyFill="1" applyBorder="1"/>
    <xf numFmtId="14" fontId="0" fillId="17" borderId="1" xfId="0" applyNumberFormat="1" applyFill="1" applyBorder="1"/>
    <xf numFmtId="0" fontId="1" fillId="20" borderId="1" xfId="0" applyFont="1" applyFill="1" applyBorder="1" applyAlignment="1">
      <alignment horizontal="center" vertical="center" wrapText="1"/>
    </xf>
    <xf numFmtId="0" fontId="0" fillId="0" borderId="0" xfId="0" applyAlignment="1">
      <alignment horizontal="center"/>
    </xf>
    <xf numFmtId="0" fontId="13" fillId="23" borderId="4" xfId="0" applyFont="1" applyFill="1" applyBorder="1" applyAlignment="1">
      <alignment horizontal="center" vertical="center" wrapText="1"/>
    </xf>
    <xf numFmtId="166" fontId="13" fillId="0" borderId="1" xfId="0" applyNumberFormat="1" applyFont="1" applyBorder="1" applyAlignment="1">
      <alignment horizontal="center" vertical="center" wrapText="1"/>
    </xf>
    <xf numFmtId="0" fontId="13" fillId="0" borderId="1" xfId="0" applyFont="1" applyBorder="1" applyAlignment="1">
      <alignment vertical="center" wrapText="1"/>
    </xf>
    <xf numFmtId="166" fontId="13" fillId="0" borderId="1" xfId="0" applyNumberFormat="1" applyFont="1" applyBorder="1" applyAlignment="1">
      <alignment vertical="center" wrapText="1"/>
    </xf>
    <xf numFmtId="166" fontId="14" fillId="0" borderId="1" xfId="0" applyNumberFormat="1" applyFont="1" applyBorder="1" applyAlignment="1">
      <alignment vertical="center" wrapText="1"/>
    </xf>
    <xf numFmtId="166" fontId="13" fillId="0" borderId="1" xfId="0" applyNumberFormat="1" applyFont="1" applyBorder="1" applyAlignment="1">
      <alignment horizontal="left" vertical="center" wrapText="1"/>
    </xf>
    <xf numFmtId="0" fontId="13" fillId="0" borderId="1" xfId="0" applyFont="1" applyBorder="1"/>
    <xf numFmtId="0" fontId="1" fillId="25" borderId="1" xfId="0" applyFont="1" applyFill="1" applyBorder="1" applyAlignment="1">
      <alignment horizontal="center"/>
    </xf>
    <xf numFmtId="0" fontId="1" fillId="26"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xf numFmtId="0" fontId="1" fillId="0" borderId="0" xfId="0" applyFont="1" applyAlignment="1">
      <alignment wrapText="1"/>
    </xf>
    <xf numFmtId="0" fontId="0" fillId="0" borderId="3" xfId="0" applyBorder="1"/>
    <xf numFmtId="4" fontId="0" fillId="0" borderId="0" xfId="0" applyNumberFormat="1"/>
    <xf numFmtId="4" fontId="1" fillId="0" borderId="0" xfId="0" applyNumberFormat="1" applyFont="1"/>
    <xf numFmtId="4" fontId="0" fillId="0" borderId="3" xfId="0" applyNumberFormat="1" applyBorder="1"/>
    <xf numFmtId="0" fontId="16" fillId="0" borderId="0" xfId="0" applyFont="1"/>
    <xf numFmtId="4" fontId="16" fillId="0" borderId="0" xfId="0" applyNumberFormat="1" applyFont="1"/>
    <xf numFmtId="4" fontId="0" fillId="0" borderId="1" xfId="0" applyNumberFormat="1" applyBorder="1"/>
    <xf numFmtId="0" fontId="1" fillId="0" borderId="0" xfId="0" applyFont="1" applyAlignment="1">
      <alignment horizontal="left"/>
    </xf>
    <xf numFmtId="4" fontId="1" fillId="0" borderId="1" xfId="0" applyNumberFormat="1" applyFont="1" applyBorder="1"/>
    <xf numFmtId="4" fontId="10" fillId="0" borderId="0" xfId="0" applyNumberFormat="1" applyFont="1"/>
    <xf numFmtId="4" fontId="9" fillId="0" borderId="0" xfId="0" applyNumberFormat="1" applyFont="1"/>
    <xf numFmtId="0" fontId="0" fillId="0" borderId="0" xfId="0" applyProtection="1">
      <protection locked="0"/>
    </xf>
    <xf numFmtId="0" fontId="1" fillId="0" borderId="0" xfId="0" applyFont="1" applyProtection="1">
      <protection locked="0"/>
    </xf>
    <xf numFmtId="0" fontId="19" fillId="0" borderId="0" xfId="0" applyFont="1" applyProtection="1">
      <protection locked="0"/>
    </xf>
    <xf numFmtId="0" fontId="20" fillId="23" borderId="1" xfId="0" applyFont="1" applyFill="1" applyBorder="1" applyAlignment="1" applyProtection="1">
      <alignment horizontal="center" vertical="center"/>
      <protection locked="0"/>
    </xf>
    <xf numFmtId="0" fontId="20" fillId="23" borderId="11" xfId="0" applyFont="1" applyFill="1" applyBorder="1" applyAlignment="1" applyProtection="1">
      <alignment horizontal="center" vertical="center" wrapText="1"/>
      <protection locked="0"/>
    </xf>
    <xf numFmtId="0" fontId="21" fillId="28" borderId="1" xfId="0" applyFont="1" applyFill="1" applyBorder="1" applyAlignment="1" applyProtection="1">
      <alignment horizontal="center"/>
      <protection locked="0"/>
    </xf>
    <xf numFmtId="0" fontId="21" fillId="24" borderId="1" xfId="0" applyFont="1" applyFill="1" applyBorder="1" applyAlignment="1" applyProtection="1">
      <alignment horizontal="center"/>
      <protection locked="0"/>
    </xf>
    <xf numFmtId="0" fontId="1" fillId="29" borderId="1" xfId="0" applyFont="1" applyFill="1" applyBorder="1" applyAlignment="1" applyProtection="1">
      <alignment horizontal="center"/>
      <protection locked="0"/>
    </xf>
    <xf numFmtId="0" fontId="1" fillId="30" borderId="1" xfId="0" applyFont="1" applyFill="1" applyBorder="1" applyAlignment="1" applyProtection="1">
      <alignment horizontal="center"/>
      <protection locked="0"/>
    </xf>
    <xf numFmtId="166" fontId="13" fillId="0" borderId="1" xfId="0" applyNumberFormat="1"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22" fillId="0" borderId="1" xfId="0" applyFont="1" applyBorder="1" applyAlignment="1" applyProtection="1">
      <alignment horizontal="center" vertical="center"/>
      <protection locked="0"/>
    </xf>
    <xf numFmtId="4" fontId="0" fillId="0" borderId="0" xfId="0" quotePrefix="1" applyNumberFormat="1" applyProtection="1">
      <protection locked="0"/>
    </xf>
    <xf numFmtId="0" fontId="13" fillId="0" borderId="0" xfId="0" applyFont="1" applyAlignment="1" applyProtection="1">
      <alignment vertical="center" wrapText="1"/>
      <protection locked="0"/>
    </xf>
    <xf numFmtId="4" fontId="0" fillId="0" borderId="0" xfId="0" applyNumberFormat="1" applyProtection="1">
      <protection locked="0"/>
    </xf>
    <xf numFmtId="0" fontId="23" fillId="0" borderId="0" xfId="0" applyFont="1" applyProtection="1">
      <protection locked="0"/>
    </xf>
    <xf numFmtId="4" fontId="23" fillId="0" borderId="0" xfId="0" quotePrefix="1" applyNumberFormat="1" applyFont="1" applyProtection="1">
      <protection locked="0"/>
    </xf>
    <xf numFmtId="4" fontId="23" fillId="0" borderId="3" xfId="0" quotePrefix="1" applyNumberFormat="1" applyFont="1" applyBorder="1" applyProtection="1">
      <protection locked="0"/>
    </xf>
    <xf numFmtId="0" fontId="23" fillId="0" borderId="3" xfId="0" quotePrefix="1" applyFont="1" applyBorder="1" applyProtection="1">
      <protection locked="0"/>
    </xf>
    <xf numFmtId="0" fontId="23" fillId="0" borderId="3" xfId="0" applyFont="1" applyBorder="1" applyProtection="1">
      <protection locked="0"/>
    </xf>
    <xf numFmtId="0" fontId="5" fillId="0" borderId="0" xfId="0" applyFont="1" applyProtection="1">
      <protection locked="0"/>
    </xf>
    <xf numFmtId="4" fontId="5" fillId="0" borderId="0" xfId="0" quotePrefix="1" applyNumberFormat="1" applyFont="1" applyProtection="1">
      <protection locked="0"/>
    </xf>
    <xf numFmtId="0" fontId="24" fillId="0" borderId="0" xfId="2" applyFont="1" applyProtection="1">
      <protection locked="0"/>
    </xf>
    <xf numFmtId="4" fontId="23" fillId="0" borderId="0" xfId="0" applyNumberFormat="1" applyFont="1" applyProtection="1">
      <protection locked="0"/>
    </xf>
    <xf numFmtId="4" fontId="25" fillId="0" borderId="0" xfId="0" applyNumberFormat="1" applyFont="1" applyProtection="1">
      <protection locked="0"/>
    </xf>
    <xf numFmtId="4" fontId="0" fillId="0" borderId="12" xfId="0" quotePrefix="1" applyNumberFormat="1" applyBorder="1" applyProtection="1">
      <protection locked="0"/>
    </xf>
    <xf numFmtId="0" fontId="26" fillId="0" borderId="0" xfId="2" applyFont="1" applyProtection="1">
      <protection locked="0"/>
    </xf>
    <xf numFmtId="4" fontId="0" fillId="0" borderId="3" xfId="0" quotePrefix="1" applyNumberFormat="1" applyBorder="1" applyProtection="1">
      <protection locked="0"/>
    </xf>
    <xf numFmtId="10" fontId="0" fillId="0" borderId="3" xfId="1" quotePrefix="1" applyNumberFormat="1" applyFont="1" applyBorder="1" applyProtection="1">
      <protection locked="0"/>
    </xf>
    <xf numFmtId="0" fontId="0" fillId="0" borderId="0" xfId="0" applyAlignment="1" applyProtection="1">
      <alignment horizontal="left" indent="1"/>
      <protection locked="0"/>
    </xf>
    <xf numFmtId="4" fontId="1" fillId="0" borderId="12" xfId="0" quotePrefix="1" applyNumberFormat="1" applyFont="1" applyBorder="1" applyProtection="1">
      <protection locked="0"/>
    </xf>
    <xf numFmtId="4" fontId="0" fillId="17" borderId="1" xfId="0" applyNumberFormat="1" applyFill="1" applyBorder="1"/>
    <xf numFmtId="0" fontId="1" fillId="0" borderId="0" xfId="0" applyFont="1" applyAlignment="1">
      <alignment horizontal="center"/>
    </xf>
    <xf numFmtId="164" fontId="0" fillId="0" borderId="1" xfId="0" applyNumberFormat="1" applyBorder="1"/>
    <xf numFmtId="14" fontId="0" fillId="0" borderId="1" xfId="0" applyNumberFormat="1" applyBorder="1" applyAlignment="1">
      <alignment horizontal="right"/>
    </xf>
    <xf numFmtId="4" fontId="0" fillId="17" borderId="1" xfId="0" applyNumberFormat="1" applyFill="1" applyBorder="1" applyAlignment="1">
      <alignment horizontal="center"/>
    </xf>
    <xf numFmtId="0" fontId="0" fillId="17" borderId="1" xfId="0" applyFill="1" applyBorder="1" applyAlignment="1">
      <alignment vertical="center"/>
    </xf>
    <xf numFmtId="4" fontId="0" fillId="17" borderId="1" xfId="0" applyNumberFormat="1" applyFill="1" applyBorder="1" applyAlignment="1" applyProtection="1">
      <alignment horizontal="center"/>
      <protection locked="0"/>
    </xf>
    <xf numFmtId="0" fontId="0" fillId="0" borderId="0" xfId="0" applyAlignment="1">
      <alignment horizontal="justify" vertical="center"/>
    </xf>
    <xf numFmtId="0" fontId="1" fillId="31" borderId="0" xfId="0" applyFont="1" applyFill="1"/>
    <xf numFmtId="0" fontId="0" fillId="31" borderId="0" xfId="0" applyFill="1"/>
    <xf numFmtId="0" fontId="19" fillId="0" borderId="0" xfId="0" applyFont="1"/>
    <xf numFmtId="0" fontId="27" fillId="25" borderId="0" xfId="2" applyFont="1" applyFill="1" applyAlignment="1" applyProtection="1">
      <alignment horizontal="center"/>
      <protection locked="0"/>
    </xf>
    <xf numFmtId="0" fontId="1" fillId="33" borderId="1" xfId="0" applyFont="1" applyFill="1" applyBorder="1" applyAlignment="1">
      <alignment horizontal="center" vertical="center" wrapText="1"/>
    </xf>
    <xf numFmtId="166" fontId="13" fillId="0" borderId="10" xfId="0" applyNumberFormat="1" applyFont="1" applyBorder="1" applyAlignment="1">
      <alignment horizontal="center" vertical="center" wrapText="1"/>
    </xf>
    <xf numFmtId="0" fontId="13" fillId="0" borderId="10"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4" fillId="0" borderId="1" xfId="0" applyFont="1" applyBorder="1" applyAlignment="1">
      <alignment vertical="center" wrapText="1"/>
    </xf>
    <xf numFmtId="0" fontId="14" fillId="0" borderId="1" xfId="0" applyFont="1" applyBorder="1"/>
    <xf numFmtId="0" fontId="13" fillId="0" borderId="1" xfId="0" applyFont="1" applyBorder="1" applyAlignment="1">
      <alignment horizontal="center" vertical="center"/>
    </xf>
    <xf numFmtId="0" fontId="13" fillId="0" borderId="1" xfId="0" applyFont="1" applyBorder="1" applyAlignment="1">
      <alignment wrapText="1"/>
    </xf>
    <xf numFmtId="0" fontId="0" fillId="24" borderId="0" xfId="0" applyFill="1"/>
    <xf numFmtId="0" fontId="1" fillId="33" borderId="10" xfId="0" applyFont="1" applyFill="1" applyBorder="1" applyAlignment="1">
      <alignment horizontal="center" vertical="center" wrapText="1"/>
    </xf>
    <xf numFmtId="166" fontId="14" fillId="0" borderId="1" xfId="0" applyNumberFormat="1" applyFont="1" applyBorder="1" applyAlignment="1">
      <alignment horizontal="justify" vertical="center" wrapText="1"/>
    </xf>
    <xf numFmtId="166" fontId="14" fillId="0" borderId="1" xfId="0" applyNumberFormat="1" applyFont="1" applyBorder="1" applyAlignment="1">
      <alignment horizontal="center" vertical="center" wrapText="1"/>
    </xf>
    <xf numFmtId="166" fontId="14" fillId="0" borderId="1" xfId="0" quotePrefix="1" applyNumberFormat="1" applyFont="1" applyBorder="1" applyAlignment="1">
      <alignment horizontal="center" vertical="center" wrapText="1"/>
    </xf>
    <xf numFmtId="0" fontId="29" fillId="16" borderId="1" xfId="0" applyFont="1" applyFill="1" applyBorder="1" applyAlignment="1">
      <alignment horizontal="center" vertical="center"/>
    </xf>
    <xf numFmtId="0" fontId="20" fillId="23" borderId="1" xfId="0" applyFont="1" applyFill="1" applyBorder="1" applyAlignment="1">
      <alignment horizontal="center" vertical="center" wrapText="1"/>
    </xf>
    <xf numFmtId="0" fontId="20" fillId="23" borderId="7" xfId="0" applyFont="1" applyFill="1" applyBorder="1" applyAlignment="1">
      <alignment horizontal="center" vertical="center" wrapText="1"/>
    </xf>
    <xf numFmtId="166" fontId="20" fillId="34" borderId="1" xfId="0" applyNumberFormat="1" applyFont="1" applyFill="1" applyBorder="1" applyAlignment="1">
      <alignment horizontal="center" vertical="center" wrapText="1"/>
    </xf>
    <xf numFmtId="167" fontId="0" fillId="0" borderId="7" xfId="0" applyNumberFormat="1" applyBorder="1"/>
    <xf numFmtId="0" fontId="1" fillId="14" borderId="1" xfId="0" applyFont="1" applyFill="1" applyBorder="1"/>
    <xf numFmtId="0" fontId="1" fillId="14" borderId="1" xfId="0" applyFont="1" applyFill="1" applyBorder="1" applyAlignment="1">
      <alignment horizontal="center"/>
    </xf>
    <xf numFmtId="10" fontId="10" fillId="0" borderId="1" xfId="0" applyNumberFormat="1" applyFont="1" applyBorder="1"/>
    <xf numFmtId="167" fontId="10" fillId="0" borderId="1" xfId="0" applyNumberFormat="1" applyFont="1" applyBorder="1"/>
    <xf numFmtId="168" fontId="10" fillId="0" borderId="1" xfId="0" applyNumberFormat="1" applyFont="1" applyBorder="1"/>
    <xf numFmtId="167" fontId="1" fillId="26" borderId="1" xfId="0" applyNumberFormat="1" applyFont="1" applyFill="1" applyBorder="1"/>
    <xf numFmtId="166" fontId="20" fillId="34" borderId="1" xfId="0" applyNumberFormat="1" applyFont="1" applyFill="1" applyBorder="1" applyAlignment="1">
      <alignment horizontal="left" vertical="center" wrapText="1"/>
    </xf>
    <xf numFmtId="0" fontId="9" fillId="0" borderId="0" xfId="0" applyFont="1"/>
    <xf numFmtId="0" fontId="1" fillId="0" borderId="0" xfId="0" applyFont="1" applyAlignment="1">
      <alignment horizontal="left" indent="1"/>
    </xf>
    <xf numFmtId="9" fontId="0" fillId="0" borderId="1" xfId="1" applyFont="1" applyBorder="1"/>
    <xf numFmtId="0" fontId="13" fillId="23" borderId="1" xfId="0" applyFont="1" applyFill="1" applyBorder="1" applyAlignment="1">
      <alignment horizontal="center" vertical="center" wrapText="1"/>
    </xf>
    <xf numFmtId="0" fontId="0" fillId="0" borderId="0" xfId="0" applyAlignment="1">
      <alignment horizontal="justify" vertical="center" wrapText="1"/>
    </xf>
    <xf numFmtId="10" fontId="0" fillId="17" borderId="1" xfId="1" applyNumberFormat="1" applyFont="1" applyFill="1" applyBorder="1" applyProtection="1"/>
    <xf numFmtId="3" fontId="0" fillId="17" borderId="1" xfId="0" applyNumberFormat="1" applyFill="1" applyBorder="1" applyAlignment="1">
      <alignment horizontal="center"/>
    </xf>
    <xf numFmtId="4" fontId="0" fillId="17" borderId="1" xfId="0" applyNumberFormat="1" applyFill="1" applyBorder="1" applyAlignment="1">
      <alignment horizontal="right"/>
    </xf>
    <xf numFmtId="3" fontId="0" fillId="17" borderId="1" xfId="0" applyNumberFormat="1" applyFill="1" applyBorder="1" applyAlignment="1">
      <alignment horizontal="right"/>
    </xf>
    <xf numFmtId="3" fontId="0" fillId="0" borderId="1" xfId="0" applyNumberFormat="1" applyBorder="1"/>
    <xf numFmtId="0" fontId="31" fillId="0" borderId="0" xfId="0" applyFont="1"/>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30" fillId="0" borderId="0" xfId="0" applyFont="1" applyAlignment="1">
      <alignment horizontal="center" vertical="center" wrapText="1"/>
    </xf>
    <xf numFmtId="0" fontId="32" fillId="0" borderId="0" xfId="0" applyFont="1" applyAlignment="1">
      <alignment horizontal="center" vertical="center" wrapText="1"/>
    </xf>
    <xf numFmtId="4" fontId="30" fillId="0" borderId="0" xfId="0" applyNumberFormat="1" applyFont="1" applyAlignment="1">
      <alignment horizontal="center" vertical="center" wrapText="1"/>
    </xf>
    <xf numFmtId="4" fontId="30" fillId="0" borderId="8" xfId="0" applyNumberFormat="1" applyFont="1" applyBorder="1" applyAlignment="1">
      <alignment horizontal="center" vertical="center" wrapText="1"/>
    </xf>
    <xf numFmtId="0" fontId="30" fillId="0" borderId="8" xfId="0" applyFont="1" applyBorder="1" applyAlignment="1">
      <alignment horizontal="center" vertical="center" wrapText="1"/>
    </xf>
    <xf numFmtId="4" fontId="32" fillId="0" borderId="0" xfId="0" applyNumberFormat="1" applyFont="1" applyAlignment="1">
      <alignment horizontal="center" vertical="center" wrapText="1"/>
    </xf>
    <xf numFmtId="4" fontId="32" fillId="0" borderId="8" xfId="0" applyNumberFormat="1" applyFont="1" applyBorder="1" applyAlignment="1">
      <alignment horizontal="center" vertical="center" wrapText="1"/>
    </xf>
    <xf numFmtId="0" fontId="21" fillId="36" borderId="0" xfId="0" applyFont="1" applyFill="1"/>
    <xf numFmtId="0" fontId="15" fillId="36" borderId="0" xfId="0" applyFont="1" applyFill="1"/>
    <xf numFmtId="0" fontId="33" fillId="36" borderId="0" xfId="2" applyFont="1" applyFill="1"/>
    <xf numFmtId="0" fontId="0" fillId="0" borderId="1" xfId="0" applyBorder="1" applyAlignment="1">
      <alignment shrinkToFit="1"/>
    </xf>
    <xf numFmtId="0" fontId="0" fillId="0" borderId="0" xfId="0" applyAlignment="1">
      <alignment shrinkToFit="1"/>
    </xf>
    <xf numFmtId="0" fontId="15" fillId="24" borderId="1" xfId="0" applyFont="1" applyFill="1" applyBorder="1" applyAlignment="1">
      <alignment horizontal="center" vertical="center" shrinkToFit="1"/>
    </xf>
    <xf numFmtId="0" fontId="0" fillId="0" borderId="1" xfId="0" quotePrefix="1" applyBorder="1" applyAlignment="1">
      <alignment shrinkToFit="1"/>
    </xf>
    <xf numFmtId="0" fontId="34" fillId="0" borderId="0" xfId="2" applyFont="1"/>
    <xf numFmtId="0" fontId="0" fillId="0" borderId="1" xfId="0" applyBorder="1" applyAlignment="1">
      <alignment wrapText="1"/>
    </xf>
    <xf numFmtId="0" fontId="34" fillId="0" borderId="0" xfId="0" applyFont="1"/>
    <xf numFmtId="0" fontId="35" fillId="0" borderId="0" xfId="0" applyFont="1"/>
    <xf numFmtId="0" fontId="36" fillId="0" borderId="0" xfId="0" applyFont="1"/>
    <xf numFmtId="0" fontId="27" fillId="0" borderId="0" xfId="2" applyFont="1"/>
    <xf numFmtId="0" fontId="0" fillId="0" borderId="22" xfId="0" applyBorder="1"/>
    <xf numFmtId="0" fontId="1" fillId="29" borderId="1" xfId="0" applyFont="1" applyFill="1" applyBorder="1" applyAlignment="1">
      <alignment horizontal="center"/>
    </xf>
    <xf numFmtId="0" fontId="1" fillId="0" borderId="1" xfId="0" applyFont="1" applyBorder="1" applyAlignment="1">
      <alignment horizontal="left"/>
    </xf>
    <xf numFmtId="0" fontId="0" fillId="0" borderId="1" xfId="0" applyBorder="1" applyAlignment="1">
      <alignment horizontal="right"/>
    </xf>
    <xf numFmtId="0" fontId="0" fillId="0" borderId="9" xfId="0" applyBorder="1" applyAlignment="1">
      <alignment horizontal="center"/>
    </xf>
    <xf numFmtId="14" fontId="0" fillId="18" borderId="1" xfId="0" applyNumberFormat="1" applyFill="1" applyBorder="1" applyAlignment="1">
      <alignment horizontal="center"/>
    </xf>
    <xf numFmtId="0" fontId="0" fillId="0" borderId="23" xfId="0" applyBorder="1"/>
    <xf numFmtId="0" fontId="0" fillId="0" borderId="3" xfId="0" applyBorder="1" applyAlignment="1">
      <alignment horizontal="center"/>
    </xf>
    <xf numFmtId="0" fontId="0" fillId="0" borderId="24" xfId="0" applyBorder="1" applyAlignment="1">
      <alignment horizontal="center"/>
    </xf>
    <xf numFmtId="0" fontId="0" fillId="0" borderId="20" xfId="0" applyBorder="1" applyAlignment="1">
      <alignment horizontal="justify" wrapText="1"/>
    </xf>
    <xf numFmtId="0" fontId="0" fillId="0" borderId="25" xfId="0" applyBorder="1" applyAlignment="1">
      <alignment horizontal="justify"/>
    </xf>
    <xf numFmtId="0" fontId="0" fillId="0" borderId="21" xfId="0" applyBorder="1" applyAlignment="1">
      <alignment horizontal="justify"/>
    </xf>
    <xf numFmtId="0" fontId="0" fillId="0" borderId="22" xfId="0" applyBorder="1" applyAlignment="1">
      <alignment horizontal="justify" wrapText="1"/>
    </xf>
    <xf numFmtId="0" fontId="13" fillId="23" borderId="26" xfId="0" applyFont="1" applyFill="1" applyBorder="1" applyAlignment="1">
      <alignment horizontal="center" vertical="center" wrapText="1"/>
    </xf>
    <xf numFmtId="0" fontId="0" fillId="0" borderId="9" xfId="0" applyBorder="1"/>
    <xf numFmtId="169" fontId="13" fillId="0" borderId="5" xfId="0" applyNumberFormat="1" applyFont="1" applyBorder="1" applyAlignment="1">
      <alignment horizontal="center" vertical="center" wrapText="1"/>
    </xf>
    <xf numFmtId="0" fontId="0" fillId="0" borderId="9" xfId="0" applyBorder="1" applyAlignment="1">
      <alignment horizontal="justify"/>
    </xf>
    <xf numFmtId="169" fontId="13" fillId="0" borderId="22" xfId="0" applyNumberFormat="1" applyFont="1" applyBorder="1" applyAlignment="1">
      <alignment horizontal="center" vertical="center" wrapText="1"/>
    </xf>
    <xf numFmtId="169" fontId="13" fillId="0" borderId="23" xfId="0" applyNumberFormat="1" applyFont="1" applyBorder="1" applyAlignment="1">
      <alignment horizontal="center" vertical="center" wrapText="1"/>
    </xf>
    <xf numFmtId="0" fontId="13" fillId="0" borderId="20" xfId="0" applyFont="1" applyBorder="1" applyAlignment="1">
      <alignment horizontal="center" vertical="center" wrapText="1"/>
    </xf>
    <xf numFmtId="0" fontId="0" fillId="0" borderId="20" xfId="0" applyBorder="1" applyAlignment="1">
      <alignment horizontal="center"/>
    </xf>
    <xf numFmtId="0" fontId="0" fillId="0" borderId="25" xfId="0" applyBorder="1"/>
    <xf numFmtId="0" fontId="0" fillId="0" borderId="25"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169" fontId="13" fillId="0" borderId="1" xfId="0" applyNumberFormat="1" applyFont="1" applyBorder="1" applyAlignment="1">
      <alignment horizontal="center" vertical="center" wrapText="1"/>
    </xf>
    <xf numFmtId="169" fontId="13" fillId="0" borderId="10" xfId="0" applyNumberFormat="1" applyFont="1" applyBorder="1" applyAlignment="1">
      <alignment horizontal="center" vertical="center" wrapText="1"/>
    </xf>
    <xf numFmtId="0" fontId="0" fillId="0" borderId="23" xfId="0" applyBorder="1" applyAlignment="1">
      <alignment horizontal="center"/>
    </xf>
    <xf numFmtId="169"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horizontal="center" vertical="center"/>
    </xf>
    <xf numFmtId="0" fontId="0" fillId="0" borderId="20" xfId="0" applyBorder="1"/>
    <xf numFmtId="0" fontId="0" fillId="0" borderId="21" xfId="0" applyBorder="1"/>
    <xf numFmtId="0" fontId="13" fillId="23" borderId="4" xfId="3" applyFont="1" applyFill="1" applyBorder="1" applyAlignment="1">
      <alignment horizontal="center" vertical="center" wrapText="1"/>
    </xf>
    <xf numFmtId="169" fontId="13" fillId="0" borderId="1" xfId="0" quotePrefix="1" applyNumberFormat="1" applyFont="1" applyBorder="1" applyAlignment="1">
      <alignment horizontal="center" vertical="center" wrapText="1"/>
    </xf>
    <xf numFmtId="0" fontId="41" fillId="26" borderId="29" xfId="0" applyFont="1" applyFill="1" applyBorder="1" applyAlignment="1">
      <alignment horizontal="center" vertical="center" wrapText="1" readingOrder="1"/>
    </xf>
    <xf numFmtId="0" fontId="42" fillId="0" borderId="29" xfId="0" applyFont="1" applyBorder="1" applyAlignment="1">
      <alignment horizontal="center" vertical="center" wrapText="1" readingOrder="1"/>
    </xf>
    <xf numFmtId="8" fontId="42" fillId="0" borderId="29" xfId="0" applyNumberFormat="1" applyFont="1" applyBorder="1" applyAlignment="1">
      <alignment horizontal="center" vertical="center" wrapText="1" readingOrder="1"/>
    </xf>
    <xf numFmtId="0" fontId="41" fillId="0" borderId="29" xfId="0" applyFont="1" applyBorder="1" applyAlignment="1">
      <alignment horizontal="left" vertical="center" wrapText="1" indent="1" readingOrder="1"/>
    </xf>
    <xf numFmtId="0" fontId="41" fillId="0" borderId="29" xfId="0" applyFont="1" applyBorder="1" applyAlignment="1">
      <alignment horizontal="center" vertical="center" wrapText="1" readingOrder="1"/>
    </xf>
    <xf numFmtId="8" fontId="41" fillId="0" borderId="29" xfId="0" applyNumberFormat="1" applyFont="1" applyBorder="1" applyAlignment="1">
      <alignment horizontal="center" vertical="center" wrapText="1" readingOrder="1"/>
    </xf>
    <xf numFmtId="8" fontId="0" fillId="0" borderId="3" xfId="0" applyNumberFormat="1" applyBorder="1" applyAlignment="1">
      <alignment horizontal="center"/>
    </xf>
    <xf numFmtId="14" fontId="0" fillId="0" borderId="0" xfId="0" applyNumberFormat="1"/>
    <xf numFmtId="0" fontId="1" fillId="0" borderId="0" xfId="0" applyFont="1" applyAlignment="1">
      <alignment vertical="center" wrapText="1"/>
    </xf>
    <xf numFmtId="0" fontId="1" fillId="25" borderId="1" xfId="0" applyFont="1" applyFill="1" applyBorder="1" applyAlignment="1">
      <alignment horizontal="center" vertical="center"/>
    </xf>
    <xf numFmtId="0" fontId="1" fillId="25" borderId="1" xfId="0" applyFont="1" applyFill="1" applyBorder="1" applyAlignment="1">
      <alignment horizontal="center" wrapText="1"/>
    </xf>
    <xf numFmtId="14" fontId="0" fillId="0" borderId="1" xfId="0" applyNumberFormat="1" applyBorder="1" applyAlignment="1">
      <alignment horizontal="center"/>
    </xf>
    <xf numFmtId="0" fontId="44" fillId="0" borderId="0" xfId="0" applyFont="1" applyAlignment="1">
      <alignment vertical="center"/>
    </xf>
    <xf numFmtId="8" fontId="0" fillId="0" borderId="3" xfId="0" quotePrefix="1" applyNumberFormat="1" applyBorder="1" applyAlignment="1">
      <alignment horizontal="center"/>
    </xf>
    <xf numFmtId="0" fontId="43" fillId="0" borderId="0" xfId="0" applyFont="1"/>
    <xf numFmtId="0" fontId="1" fillId="0" borderId="0" xfId="0" applyFont="1" applyAlignment="1">
      <alignment horizontal="right" indent="1"/>
    </xf>
    <xf numFmtId="0" fontId="1" fillId="26" borderId="1" xfId="0" applyFont="1" applyFill="1" applyBorder="1" applyAlignment="1">
      <alignment horizontal="center"/>
    </xf>
    <xf numFmtId="0" fontId="19" fillId="0" borderId="0" xfId="0" applyFont="1" applyAlignment="1">
      <alignment horizontal="center"/>
    </xf>
    <xf numFmtId="170" fontId="0" fillId="0" borderId="0" xfId="0" applyNumberFormat="1"/>
    <xf numFmtId="0" fontId="0" fillId="0" borderId="31" xfId="0" applyBorder="1" applyAlignment="1">
      <alignment vertical="center"/>
    </xf>
    <xf numFmtId="167" fontId="0" fillId="0" borderId="0" xfId="0" applyNumberFormat="1"/>
    <xf numFmtId="0" fontId="1" fillId="38" borderId="1" xfId="0" applyFont="1" applyFill="1" applyBorder="1" applyAlignment="1">
      <alignment horizontal="center" vertical="center"/>
    </xf>
    <xf numFmtId="0" fontId="1" fillId="38" borderId="1" xfId="0" applyFont="1" applyFill="1" applyBorder="1" applyAlignment="1">
      <alignment horizontal="center" vertical="center" wrapText="1"/>
    </xf>
    <xf numFmtId="4" fontId="10" fillId="0" borderId="1" xfId="0" applyNumberFormat="1" applyFont="1" applyBorder="1"/>
    <xf numFmtId="0" fontId="1" fillId="0" borderId="0" xfId="0" applyFont="1" applyAlignment="1">
      <alignment horizontal="right"/>
    </xf>
    <xf numFmtId="0" fontId="0" fillId="39" borderId="0" xfId="0" applyFill="1"/>
    <xf numFmtId="0" fontId="45" fillId="0" borderId="0" xfId="0" applyFont="1" applyAlignment="1">
      <alignment horizontal="center"/>
    </xf>
    <xf numFmtId="9" fontId="0" fillId="0" borderId="1" xfId="1" quotePrefix="1" applyFont="1" applyBorder="1"/>
    <xf numFmtId="0" fontId="0" fillId="40" borderId="5" xfId="0" applyFill="1" applyBorder="1"/>
    <xf numFmtId="4" fontId="0" fillId="0" borderId="7" xfId="0" applyNumberFormat="1" applyBorder="1"/>
    <xf numFmtId="0" fontId="0" fillId="40" borderId="1" xfId="0" applyFill="1" applyBorder="1"/>
    <xf numFmtId="0" fontId="9" fillId="24" borderId="1" xfId="0" applyFont="1" applyFill="1" applyBorder="1" applyAlignment="1">
      <alignment horizontal="center" vertical="center" wrapText="1"/>
    </xf>
    <xf numFmtId="4" fontId="0" fillId="17" borderId="1" xfId="1" applyNumberFormat="1" applyFont="1" applyFill="1" applyBorder="1"/>
    <xf numFmtId="0" fontId="12" fillId="41" borderId="1" xfId="0" applyFont="1" applyFill="1" applyBorder="1" applyAlignment="1">
      <alignment horizontal="center"/>
    </xf>
    <xf numFmtId="167" fontId="1" fillId="0" borderId="0" xfId="0" applyNumberFormat="1" applyFont="1"/>
    <xf numFmtId="9" fontId="0" fillId="17" borderId="1" xfId="1" applyFont="1" applyFill="1" applyBorder="1"/>
    <xf numFmtId="3" fontId="0" fillId="17" borderId="1" xfId="0" applyNumberFormat="1" applyFill="1" applyBorder="1"/>
    <xf numFmtId="171" fontId="0" fillId="17" borderId="1" xfId="0" applyNumberFormat="1" applyFill="1" applyBorder="1"/>
    <xf numFmtId="0" fontId="0" fillId="17" borderId="0" xfId="0" applyFill="1" applyProtection="1">
      <protection locked="0"/>
    </xf>
    <xf numFmtId="14" fontId="42" fillId="17" borderId="29" xfId="0" applyNumberFormat="1" applyFont="1" applyFill="1" applyBorder="1" applyAlignment="1">
      <alignment horizontal="center" vertical="center" wrapText="1" readingOrder="1"/>
    </xf>
    <xf numFmtId="0" fontId="42" fillId="17" borderId="29" xfId="0" applyFont="1" applyFill="1" applyBorder="1" applyAlignment="1">
      <alignment horizontal="center" vertical="center" wrapText="1" readingOrder="1"/>
    </xf>
    <xf numFmtId="164" fontId="42" fillId="17" borderId="29" xfId="0" applyNumberFormat="1" applyFont="1" applyFill="1" applyBorder="1" applyAlignment="1">
      <alignment horizontal="center" vertical="center" wrapText="1" readingOrder="1"/>
    </xf>
    <xf numFmtId="14" fontId="0" fillId="17" borderId="1" xfId="0" applyNumberFormat="1" applyFill="1" applyBorder="1" applyAlignment="1">
      <alignment vertical="center"/>
    </xf>
    <xf numFmtId="9" fontId="0" fillId="17" borderId="1" xfId="0" applyNumberFormat="1" applyFill="1" applyBorder="1"/>
    <xf numFmtId="0" fontId="0" fillId="17" borderId="14" xfId="0" applyFill="1" applyBorder="1" applyAlignment="1" applyProtection="1">
      <alignment horizontal="center"/>
      <protection locked="0"/>
    </xf>
    <xf numFmtId="0" fontId="0" fillId="17" borderId="15" xfId="0" applyFill="1" applyBorder="1" applyAlignment="1" applyProtection="1">
      <alignment horizontal="center"/>
      <protection locked="0"/>
    </xf>
    <xf numFmtId="0" fontId="1" fillId="0" borderId="0" xfId="0" applyFont="1" applyAlignment="1">
      <alignment horizontal="center"/>
    </xf>
    <xf numFmtId="0" fontId="1" fillId="0" borderId="13" xfId="0" applyFont="1" applyBorder="1" applyAlignment="1">
      <alignment horizontal="center"/>
    </xf>
    <xf numFmtId="0" fontId="19" fillId="0" borderId="0" xfId="0" applyFont="1"/>
    <xf numFmtId="0" fontId="9" fillId="32" borderId="5" xfId="0" applyFont="1" applyFill="1" applyBorder="1" applyAlignment="1">
      <alignment horizontal="center"/>
    </xf>
    <xf numFmtId="0" fontId="9" fillId="32" borderId="6" xfId="0" applyFont="1" applyFill="1" applyBorder="1" applyAlignment="1">
      <alignment horizontal="center"/>
    </xf>
    <xf numFmtId="0" fontId="9" fillId="32" borderId="7" xfId="0" applyFont="1" applyFill="1" applyBorder="1" applyAlignment="1">
      <alignment horizontal="center"/>
    </xf>
    <xf numFmtId="0" fontId="1" fillId="17" borderId="5" xfId="0" applyFont="1" applyFill="1" applyBorder="1" applyAlignment="1">
      <alignment horizontal="justify" vertical="center" wrapText="1"/>
    </xf>
    <xf numFmtId="0" fontId="1" fillId="17" borderId="6" xfId="0" applyFont="1" applyFill="1" applyBorder="1" applyAlignment="1">
      <alignment horizontal="justify" vertical="center" wrapText="1"/>
    </xf>
    <xf numFmtId="0" fontId="1" fillId="17" borderId="7" xfId="0" applyFont="1" applyFill="1" applyBorder="1" applyAlignment="1">
      <alignment horizontal="justify" vertical="center" wrapText="1"/>
    </xf>
    <xf numFmtId="0" fontId="30" fillId="16" borderId="1" xfId="0" applyFont="1" applyFill="1" applyBorder="1" applyAlignment="1">
      <alignment horizontal="justify" vertical="center"/>
    </xf>
    <xf numFmtId="0" fontId="30" fillId="16" borderId="1" xfId="0" applyFont="1" applyFill="1" applyBorder="1" applyAlignment="1">
      <alignment horizontal="justify" vertical="center" wrapText="1"/>
    </xf>
    <xf numFmtId="0" fontId="19" fillId="0" borderId="0" xfId="0" applyFont="1" applyAlignment="1">
      <alignment horizontal="center" vertical="center" wrapText="1"/>
    </xf>
    <xf numFmtId="0" fontId="9" fillId="32" borderId="1" xfId="0" applyFont="1" applyFill="1" applyBorder="1" applyAlignment="1">
      <alignment horizontal="center"/>
    </xf>
    <xf numFmtId="0" fontId="0" fillId="17" borderId="1" xfId="0" applyFill="1" applyBorder="1" applyAlignment="1">
      <alignment horizontal="justify" vertical="center" wrapText="1"/>
    </xf>
    <xf numFmtId="0" fontId="0" fillId="17" borderId="1" xfId="0" applyFill="1" applyBorder="1" applyAlignment="1">
      <alignment horizontal="justify" vertical="center"/>
    </xf>
    <xf numFmtId="166" fontId="13" fillId="17" borderId="5" xfId="0" applyNumberFormat="1" applyFont="1" applyFill="1" applyBorder="1" applyAlignment="1">
      <alignment horizontal="justify" vertical="center" wrapText="1"/>
    </xf>
    <xf numFmtId="166" fontId="13" fillId="17" borderId="6" xfId="0" applyNumberFormat="1" applyFont="1" applyFill="1" applyBorder="1" applyAlignment="1">
      <alignment horizontal="justify" vertical="center" wrapText="1"/>
    </xf>
    <xf numFmtId="166" fontId="13" fillId="17" borderId="7" xfId="0" applyNumberFormat="1" applyFont="1" applyFill="1" applyBorder="1" applyAlignment="1">
      <alignment horizontal="justify" vertical="center" wrapText="1"/>
    </xf>
    <xf numFmtId="0" fontId="27" fillId="0" borderId="1" xfId="2" applyFont="1" applyBorder="1" applyAlignment="1">
      <alignment horizontal="left"/>
    </xf>
    <xf numFmtId="0" fontId="27" fillId="0" borderId="1" xfId="2" applyFont="1" applyBorder="1" applyAlignment="1">
      <alignment horizontal="left" wrapText="1"/>
    </xf>
    <xf numFmtId="0" fontId="1" fillId="17" borderId="1" xfId="0" applyFont="1" applyFill="1" applyBorder="1" applyAlignment="1">
      <alignment horizontal="justify" vertical="center"/>
    </xf>
    <xf numFmtId="0" fontId="19" fillId="17" borderId="1" xfId="0" applyFont="1" applyFill="1" applyBorder="1" applyAlignment="1">
      <alignment horizontal="justify" vertical="center"/>
    </xf>
    <xf numFmtId="0" fontId="0" fillId="0" borderId="0" xfId="0" applyAlignment="1">
      <alignment horizontal="center"/>
    </xf>
    <xf numFmtId="0" fontId="19" fillId="29" borderId="1" xfId="0" applyFont="1" applyFill="1" applyBorder="1" applyAlignment="1">
      <alignment horizontal="justify" vertical="center" wrapText="1"/>
    </xf>
    <xf numFmtId="0" fontId="19" fillId="29" borderId="1" xfId="0" applyFont="1" applyFill="1" applyBorder="1" applyAlignment="1">
      <alignment horizontal="justify" vertical="center"/>
    </xf>
    <xf numFmtId="0" fontId="19" fillId="26" borderId="1" xfId="0" applyFont="1" applyFill="1" applyBorder="1" applyAlignment="1">
      <alignment horizontal="justify" vertical="center"/>
    </xf>
    <xf numFmtId="0" fontId="2" fillId="2" borderId="0" xfId="0" applyFont="1" applyFill="1" applyAlignment="1">
      <alignment horizontal="center"/>
    </xf>
    <xf numFmtId="0" fontId="0" fillId="21" borderId="1" xfId="0" applyFill="1" applyBorder="1" applyAlignment="1">
      <alignment horizontal="justify" vertical="center" wrapText="1"/>
    </xf>
    <xf numFmtId="0" fontId="0" fillId="21" borderId="1" xfId="0" applyFill="1" applyBorder="1" applyAlignment="1">
      <alignment horizontal="justify" vertical="center"/>
    </xf>
    <xf numFmtId="0" fontId="3" fillId="6" borderId="0" xfId="0" applyFont="1" applyFill="1" applyAlignment="1">
      <alignment horizontal="center"/>
    </xf>
    <xf numFmtId="0" fontId="2" fillId="5" borderId="0" xfId="0" applyFont="1" applyFill="1" applyAlignment="1">
      <alignment horizontal="center"/>
    </xf>
    <xf numFmtId="0" fontId="12" fillId="22" borderId="3" xfId="0" applyFont="1" applyFill="1" applyBorder="1" applyAlignment="1">
      <alignment horizontal="center"/>
    </xf>
    <xf numFmtId="0" fontId="0" fillId="0" borderId="1" xfId="0" applyBorder="1" applyAlignment="1">
      <alignment horizontal="justify" vertical="center" wrapText="1"/>
    </xf>
    <xf numFmtId="0" fontId="1" fillId="20" borderId="1" xfId="0" applyFont="1" applyFill="1" applyBorder="1" applyAlignment="1">
      <alignment horizontal="center"/>
    </xf>
    <xf numFmtId="0" fontId="0" fillId="0" borderId="5" xfId="0" applyBorder="1" applyAlignment="1">
      <alignment horizontal="justify" vertical="center" wrapText="1"/>
    </xf>
    <xf numFmtId="0" fontId="0" fillId="0" borderId="6" xfId="0" applyBorder="1" applyAlignment="1">
      <alignment horizontal="justify" vertical="center"/>
    </xf>
    <xf numFmtId="0" fontId="0" fillId="0" borderId="1" xfId="0" applyBorder="1" applyAlignment="1">
      <alignment horizontal="justify" vertical="center"/>
    </xf>
    <xf numFmtId="0" fontId="18" fillId="24" borderId="0" xfId="0" applyFont="1" applyFill="1" applyAlignment="1" applyProtection="1">
      <alignment horizontal="center"/>
      <protection locked="0"/>
    </xf>
    <xf numFmtId="0" fontId="1" fillId="27" borderId="1" xfId="0" applyFont="1" applyFill="1" applyBorder="1" applyAlignment="1" applyProtection="1">
      <alignment horizontal="center"/>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horizontal="justify" vertical="center"/>
      <protection locked="0"/>
    </xf>
    <xf numFmtId="0" fontId="0" fillId="0" borderId="1" xfId="0" applyBorder="1" applyAlignment="1" applyProtection="1">
      <alignment horizontal="justify"/>
      <protection locked="0"/>
    </xf>
    <xf numFmtId="0" fontId="0" fillId="0" borderId="1" xfId="0" applyBorder="1" applyAlignment="1" applyProtection="1">
      <alignment horizontal="justify" wrapText="1"/>
      <protection locked="0"/>
    </xf>
    <xf numFmtId="0" fontId="20" fillId="23" borderId="1" xfId="0" applyFont="1" applyFill="1" applyBorder="1" applyAlignment="1">
      <alignment horizontal="center" vertical="center" wrapText="1"/>
    </xf>
    <xf numFmtId="0" fontId="20" fillId="34" borderId="1" xfId="0" applyFont="1" applyFill="1" applyBorder="1" applyAlignment="1">
      <alignment horizontal="left" vertical="center" wrapText="1"/>
    </xf>
    <xf numFmtId="0" fontId="20" fillId="34" borderId="1" xfId="0" applyFont="1" applyFill="1" applyBorder="1" applyAlignment="1">
      <alignment vertical="center" wrapText="1"/>
    </xf>
    <xf numFmtId="167" fontId="0" fillId="35" borderId="18" xfId="0" applyNumberFormat="1" applyFill="1" applyBorder="1" applyAlignment="1">
      <alignment horizontal="center"/>
    </xf>
    <xf numFmtId="167" fontId="0" fillId="35" borderId="19" xfId="0" applyNumberFormat="1" applyFill="1" applyBorder="1" applyAlignment="1">
      <alignment horizontal="center"/>
    </xf>
    <xf numFmtId="167" fontId="0" fillId="35" borderId="10" xfId="0" applyNumberFormat="1" applyFill="1" applyBorder="1" applyAlignment="1">
      <alignment horizontal="center"/>
    </xf>
    <xf numFmtId="0" fontId="20" fillId="23" borderId="5" xfId="0" applyFont="1" applyFill="1" applyBorder="1" applyAlignment="1">
      <alignment horizontal="center" vertical="center" wrapText="1"/>
    </xf>
    <xf numFmtId="0" fontId="20" fillId="23" borderId="7" xfId="0" applyFont="1" applyFill="1" applyBorder="1" applyAlignment="1">
      <alignment horizontal="center" vertical="center" wrapText="1"/>
    </xf>
    <xf numFmtId="0" fontId="20" fillId="34" borderId="5" xfId="0" applyFont="1" applyFill="1" applyBorder="1" applyAlignment="1">
      <alignment horizontal="left" vertical="center" wrapText="1"/>
    </xf>
    <xf numFmtId="0" fontId="20" fillId="34" borderId="7" xfId="0" applyFont="1" applyFill="1" applyBorder="1" applyAlignment="1">
      <alignment horizontal="left" vertical="center" wrapText="1"/>
    </xf>
    <xf numFmtId="0" fontId="38" fillId="17" borderId="5" xfId="0" applyFont="1" applyFill="1" applyBorder="1" applyAlignment="1">
      <alignment horizontal="left" vertical="center"/>
    </xf>
    <xf numFmtId="0" fontId="38" fillId="17" borderId="7" xfId="0" applyFont="1" applyFill="1" applyBorder="1" applyAlignment="1">
      <alignment horizontal="left" vertical="center"/>
    </xf>
    <xf numFmtId="0" fontId="0" fillId="0" borderId="7" xfId="0" applyBorder="1" applyAlignment="1">
      <alignment horizontal="justify" vertical="center"/>
    </xf>
    <xf numFmtId="0" fontId="27" fillId="17" borderId="5" xfId="2" applyFont="1" applyFill="1" applyBorder="1" applyAlignment="1">
      <alignment horizontal="left" vertical="center"/>
    </xf>
    <xf numFmtId="0" fontId="27" fillId="17" borderId="7" xfId="2" applyFont="1" applyFill="1" applyBorder="1" applyAlignment="1">
      <alignment horizontal="left" vertical="center"/>
    </xf>
    <xf numFmtId="0" fontId="0" fillId="0" borderId="6" xfId="0" applyBorder="1" applyAlignment="1">
      <alignment horizontal="justify" vertical="center" wrapText="1"/>
    </xf>
    <xf numFmtId="0" fontId="0" fillId="0" borderId="5" xfId="0" applyBorder="1" applyAlignment="1">
      <alignment horizontal="justify" wrapText="1"/>
    </xf>
    <xf numFmtId="0" fontId="0" fillId="0" borderId="6" xfId="0" applyBorder="1" applyAlignment="1">
      <alignment horizontal="justify"/>
    </xf>
    <xf numFmtId="0" fontId="0" fillId="0" borderId="7" xfId="0" applyBorder="1" applyAlignment="1">
      <alignment horizontal="justify"/>
    </xf>
    <xf numFmtId="0" fontId="38" fillId="17" borderId="1" xfId="0" applyFont="1" applyFill="1" applyBorder="1" applyAlignment="1">
      <alignment horizontal="left" vertical="center"/>
    </xf>
    <xf numFmtId="0" fontId="38" fillId="17" borderId="20" xfId="0" applyFont="1" applyFill="1" applyBorder="1" applyAlignment="1">
      <alignment horizontal="left" vertical="center"/>
    </xf>
    <xf numFmtId="0" fontId="38" fillId="17" borderId="21" xfId="0" applyFont="1" applyFill="1" applyBorder="1" applyAlignment="1">
      <alignment horizontal="left" vertical="center"/>
    </xf>
    <xf numFmtId="0" fontId="38" fillId="17" borderId="22" xfId="0" applyFont="1" applyFill="1" applyBorder="1" applyAlignment="1">
      <alignment horizontal="left" vertical="center"/>
    </xf>
    <xf numFmtId="0" fontId="38" fillId="17" borderId="9" xfId="0" applyFont="1" applyFill="1" applyBorder="1" applyAlignment="1">
      <alignment horizontal="left" vertical="center"/>
    </xf>
    <xf numFmtId="0" fontId="38" fillId="17" borderId="23" xfId="0" applyFont="1" applyFill="1" applyBorder="1" applyAlignment="1">
      <alignment horizontal="left" vertical="center"/>
    </xf>
    <xf numFmtId="0" fontId="38" fillId="17" borderId="24" xfId="0" applyFont="1" applyFill="1" applyBorder="1" applyAlignment="1">
      <alignment horizontal="left" vertical="center"/>
    </xf>
    <xf numFmtId="0" fontId="0" fillId="17" borderId="1" xfId="0" applyFill="1" applyBorder="1" applyAlignment="1">
      <alignment horizontal="center" vertical="center" wrapText="1"/>
    </xf>
    <xf numFmtId="0" fontId="0" fillId="0" borderId="1" xfId="0" applyBorder="1" applyAlignment="1">
      <alignment horizontal="justify" wrapText="1"/>
    </xf>
    <xf numFmtId="0" fontId="0" fillId="0" borderId="1" xfId="0" applyBorder="1" applyAlignment="1">
      <alignment horizontal="justify"/>
    </xf>
    <xf numFmtId="0" fontId="0" fillId="0" borderId="1" xfId="0" applyBorder="1" applyAlignment="1">
      <alignment horizontal="center" vertical="center" wrapText="1"/>
    </xf>
    <xf numFmtId="0" fontId="0" fillId="0" borderId="1" xfId="0" applyBorder="1" applyAlignment="1">
      <alignment horizontal="center" vertical="center"/>
    </xf>
    <xf numFmtId="0" fontId="13" fillId="0" borderId="1" xfId="0" applyFont="1" applyBorder="1" applyAlignment="1">
      <alignment horizontal="left" vertical="center" wrapText="1"/>
    </xf>
    <xf numFmtId="0" fontId="0" fillId="0" borderId="1" xfId="0" applyBorder="1" applyAlignment="1">
      <alignment horizontal="left"/>
    </xf>
    <xf numFmtId="0" fontId="37" fillId="17" borderId="1" xfId="0" applyFont="1" applyFill="1" applyBorder="1" applyAlignment="1">
      <alignment horizontal="left" vertical="center"/>
    </xf>
    <xf numFmtId="0" fontId="13" fillId="23" borderId="1" xfId="0" applyFont="1" applyFill="1" applyBorder="1" applyAlignment="1">
      <alignment horizontal="center" vertical="center" wrapText="1"/>
    </xf>
    <xf numFmtId="169" fontId="13" fillId="17" borderId="1" xfId="0" applyNumberFormat="1" applyFont="1" applyFill="1" applyBorder="1" applyAlignment="1">
      <alignment horizontal="justify" vertical="center" wrapText="1"/>
    </xf>
    <xf numFmtId="0" fontId="13" fillId="0" borderId="10" xfId="0" applyFont="1" applyBorder="1" applyAlignment="1">
      <alignment horizontal="left" vertical="center" wrapText="1"/>
    </xf>
    <xf numFmtId="0" fontId="13" fillId="0" borderId="18" xfId="0" applyFont="1" applyBorder="1" applyAlignment="1">
      <alignment horizontal="left" vertical="center" wrapText="1"/>
    </xf>
    <xf numFmtId="0" fontId="37" fillId="17" borderId="5" xfId="0" applyFont="1" applyFill="1" applyBorder="1" applyAlignment="1">
      <alignment horizontal="left" vertical="center"/>
    </xf>
    <xf numFmtId="0" fontId="37" fillId="17" borderId="7" xfId="0" applyFont="1" applyFill="1" applyBorder="1" applyAlignment="1">
      <alignment horizontal="left" vertical="center"/>
    </xf>
    <xf numFmtId="0" fontId="0" fillId="0" borderId="7" xfId="0" applyBorder="1" applyAlignment="1">
      <alignment horizontal="justify" vertical="center" wrapText="1"/>
    </xf>
    <xf numFmtId="169" fontId="13" fillId="17" borderId="5" xfId="0" applyNumberFormat="1" applyFont="1" applyFill="1" applyBorder="1" applyAlignment="1">
      <alignment horizontal="justify" vertical="center" wrapText="1"/>
    </xf>
    <xf numFmtId="169" fontId="13" fillId="17" borderId="6" xfId="0" applyNumberFormat="1" applyFont="1" applyFill="1" applyBorder="1" applyAlignment="1">
      <alignment horizontal="justify" vertical="center" wrapText="1"/>
    </xf>
    <xf numFmtId="169" fontId="13" fillId="17" borderId="7" xfId="0" applyNumberFormat="1" applyFont="1" applyFill="1" applyBorder="1" applyAlignment="1">
      <alignment horizontal="justify" vertical="center" wrapText="1"/>
    </xf>
    <xf numFmtId="0" fontId="13" fillId="0" borderId="19" xfId="0" applyFont="1" applyBorder="1" applyAlignment="1">
      <alignment horizontal="left" vertical="center" wrapText="1"/>
    </xf>
    <xf numFmtId="0" fontId="37" fillId="17" borderId="20" xfId="0" applyFont="1" applyFill="1" applyBorder="1" applyAlignment="1">
      <alignment horizontal="left" vertical="center"/>
    </xf>
    <xf numFmtId="0" fontId="37" fillId="17" borderId="21" xfId="0" applyFont="1" applyFill="1" applyBorder="1" applyAlignment="1">
      <alignment horizontal="left" vertical="center"/>
    </xf>
    <xf numFmtId="0" fontId="37" fillId="17" borderId="22" xfId="0" applyFont="1" applyFill="1" applyBorder="1" applyAlignment="1">
      <alignment horizontal="left" vertical="center"/>
    </xf>
    <xf numFmtId="0" fontId="37" fillId="17" borderId="9" xfId="0" applyFont="1" applyFill="1" applyBorder="1" applyAlignment="1">
      <alignment horizontal="left" vertical="center"/>
    </xf>
    <xf numFmtId="0" fontId="37" fillId="17" borderId="23" xfId="0" applyFont="1" applyFill="1" applyBorder="1" applyAlignment="1">
      <alignment horizontal="left" vertical="center"/>
    </xf>
    <xf numFmtId="0" fontId="37" fillId="17" borderId="24" xfId="0" applyFont="1" applyFill="1" applyBorder="1" applyAlignment="1">
      <alignment horizontal="left" vertical="center"/>
    </xf>
    <xf numFmtId="0" fontId="15" fillId="36" borderId="0" xfId="0" applyFont="1" applyFill="1" applyAlignment="1">
      <alignment horizontal="center"/>
    </xf>
    <xf numFmtId="0" fontId="15" fillId="37" borderId="0" xfId="0" applyFont="1" applyFill="1" applyAlignment="1">
      <alignment horizontal="center"/>
    </xf>
    <xf numFmtId="0" fontId="41" fillId="26" borderId="27" xfId="0" applyFont="1" applyFill="1" applyBorder="1" applyAlignment="1">
      <alignment horizontal="center" vertical="center" wrapText="1" readingOrder="1"/>
    </xf>
    <xf numFmtId="0" fontId="41" fillId="26" borderId="28" xfId="0" applyFont="1" applyFill="1" applyBorder="1" applyAlignment="1">
      <alignment horizontal="center" vertical="center" wrapText="1" readingOrder="1"/>
    </xf>
    <xf numFmtId="0" fontId="20" fillId="0" borderId="0" xfId="0" applyFont="1" applyAlignment="1">
      <alignment horizontal="center" vertical="center"/>
    </xf>
    <xf numFmtId="0" fontId="43" fillId="0" borderId="0" xfId="0" applyFont="1" applyAlignment="1">
      <alignment horizontal="center" vertical="center"/>
    </xf>
    <xf numFmtId="4" fontId="43" fillId="0" borderId="0" xfId="0" applyNumberFormat="1" applyFont="1" applyAlignment="1">
      <alignment horizontal="center" vertical="center"/>
    </xf>
    <xf numFmtId="0" fontId="1" fillId="0" borderId="0" xfId="0" applyFont="1" applyAlignment="1">
      <alignment horizontal="left"/>
    </xf>
    <xf numFmtId="0" fontId="15" fillId="22" borderId="5" xfId="0" applyFont="1" applyFill="1" applyBorder="1" applyAlignment="1">
      <alignment horizontal="left"/>
    </xf>
    <xf numFmtId="0" fontId="15" fillId="22" borderId="6" xfId="0" applyFont="1" applyFill="1" applyBorder="1" applyAlignment="1">
      <alignment horizontal="left"/>
    </xf>
    <xf numFmtId="0" fontId="15" fillId="22" borderId="7" xfId="0" applyFont="1" applyFill="1" applyBorder="1" applyAlignment="1">
      <alignment horizontal="left"/>
    </xf>
    <xf numFmtId="0" fontId="1" fillId="0" borderId="30" xfId="0" applyFont="1" applyBorder="1" applyAlignment="1">
      <alignment horizontal="left"/>
    </xf>
    <xf numFmtId="0" fontId="43" fillId="0" borderId="0" xfId="0" applyFont="1"/>
    <xf numFmtId="0" fontId="1" fillId="25" borderId="1" xfId="0" applyFont="1" applyFill="1" applyBorder="1"/>
    <xf numFmtId="0" fontId="9" fillId="24" borderId="22" xfId="0" applyFont="1" applyFill="1" applyBorder="1" applyAlignment="1">
      <alignment horizontal="center" vertical="center" wrapText="1"/>
    </xf>
    <xf numFmtId="0" fontId="9" fillId="24" borderId="9" xfId="0" applyFont="1" applyFill="1" applyBorder="1" applyAlignment="1">
      <alignment horizontal="center" vertical="center" wrapText="1"/>
    </xf>
    <xf numFmtId="0" fontId="9" fillId="24" borderId="18" xfId="0" applyFont="1" applyFill="1" applyBorder="1" applyAlignment="1">
      <alignment horizontal="center" vertical="center" wrapText="1"/>
    </xf>
    <xf numFmtId="0" fontId="9" fillId="24" borderId="10" xfId="0" applyFont="1" applyFill="1" applyBorder="1" applyAlignment="1">
      <alignment horizontal="center" vertical="center" wrapText="1"/>
    </xf>
    <xf numFmtId="0" fontId="4" fillId="7" borderId="0" xfId="0" applyFont="1" applyFill="1" applyAlignment="1">
      <alignment horizontal="center"/>
    </xf>
    <xf numFmtId="0" fontId="0" fillId="16" borderId="1" xfId="0" applyFill="1" applyBorder="1" applyAlignment="1">
      <alignment horizontal="justify" vertical="center" wrapText="1"/>
    </xf>
    <xf numFmtId="0" fontId="5" fillId="13" borderId="0" xfId="0" applyFont="1" applyFill="1" applyAlignment="1">
      <alignment horizontal="center"/>
    </xf>
    <xf numFmtId="0" fontId="1" fillId="12" borderId="0" xfId="0" applyFont="1" applyFill="1" applyAlignment="1">
      <alignment horizontal="center"/>
    </xf>
    <xf numFmtId="0" fontId="5" fillId="11" borderId="0" xfId="0" applyFont="1" applyFill="1" applyAlignment="1">
      <alignment horizontal="center"/>
    </xf>
    <xf numFmtId="0" fontId="30" fillId="0" borderId="17" xfId="0" applyFont="1" applyBorder="1" applyAlignment="1">
      <alignment horizontal="justify" vertical="center"/>
    </xf>
  </cellXfs>
  <cellStyles count="4">
    <cellStyle name="Hipervínculo" xfId="2" builtinId="8"/>
    <cellStyle name="Normal" xfId="0" builtinId="0"/>
    <cellStyle name="Normal 2 2" xfId="3" xr:uid="{59C61B21-89F5-4257-A1FB-89F770F4917D}"/>
    <cellStyle name="Porcentaje" xfId="1" builtinId="5"/>
  </cellStyles>
  <dxfs count="15">
    <dxf>
      <numFmt numFmtId="4" formatCode="#,##0.00"/>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font>
      <fill>
        <patternFill patternType="solid">
          <fgColor indexed="64"/>
          <bgColor rgb="FFFF9999"/>
        </patternFill>
      </fill>
    </dxf>
    <dxf>
      <font>
        <color theme="0"/>
      </font>
    </dxf>
    <dxf>
      <font>
        <color theme="0"/>
      </font>
    </dxf>
    <dxf>
      <font>
        <color rgb="FF006100"/>
      </font>
      <fill>
        <patternFill patternType="solid">
          <fgColor indexed="64"/>
          <bgColor rgb="FFC6EFCE"/>
        </patternFill>
      </fill>
    </dxf>
    <dxf>
      <font>
        <color rgb="FF9C0006"/>
      </font>
      <fill>
        <patternFill patternType="solid">
          <fgColor indexed="64"/>
          <bgColor rgb="FFFFCC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hyperlink" Target="#MENU!C7"/></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hyperlink" Target="#MENU!C7"/></Relationships>
</file>

<file path=xl/drawings/_rels/drawing4.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hyperlink" Target="#MENU!C7"/></Relationships>
</file>

<file path=xl/drawings/_rels/drawing5.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hyperlink" Target="#MENU!C7"/></Relationships>
</file>

<file path=xl/drawings/drawing1.xml><?xml version="1.0" encoding="utf-8"?>
<xdr:wsDr xmlns:xdr="http://schemas.openxmlformats.org/drawingml/2006/spreadsheetDrawing" xmlns:a="http://schemas.openxmlformats.org/drawingml/2006/main">
  <xdr:twoCellAnchor editAs="oneCell">
    <xdr:from>
      <xdr:col>0</xdr:col>
      <xdr:colOff>285749</xdr:colOff>
      <xdr:row>3</xdr:row>
      <xdr:rowOff>34925</xdr:rowOff>
    </xdr:from>
    <xdr:to>
      <xdr:col>11</xdr:col>
      <xdr:colOff>180974</xdr:colOff>
      <xdr:row>32</xdr:row>
      <xdr:rowOff>28575</xdr:rowOff>
    </xdr:to>
    <xdr:pic>
      <xdr:nvPicPr>
        <xdr:cNvPr id="3" name="Imagen 2">
          <a:extLst>
            <a:ext uri="{FF2B5EF4-FFF2-40B4-BE49-F238E27FC236}">
              <a16:creationId xmlns:a16="http://schemas.microsoft.com/office/drawing/2014/main" id="{27A8D3A3-9EA2-0022-10F8-4AE1D63847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9" y="625475"/>
          <a:ext cx="8277225" cy="5518150"/>
        </a:xfrm>
        <a:prstGeom prst="rect">
          <a:avLst/>
        </a:prstGeom>
      </xdr:spPr>
    </xdr:pic>
    <xdr:clientData/>
  </xdr:twoCellAnchor>
  <xdr:twoCellAnchor editAs="oneCell">
    <xdr:from>
      <xdr:col>3</xdr:col>
      <xdr:colOff>533400</xdr:colOff>
      <xdr:row>4</xdr:row>
      <xdr:rowOff>9525</xdr:rowOff>
    </xdr:from>
    <xdr:to>
      <xdr:col>4</xdr:col>
      <xdr:colOff>634755</xdr:colOff>
      <xdr:row>9</xdr:row>
      <xdr:rowOff>19050</xdr:rowOff>
    </xdr:to>
    <xdr:pic>
      <xdr:nvPicPr>
        <xdr:cNvPr id="4" name="Imagen 3">
          <a:extLst>
            <a:ext uri="{FF2B5EF4-FFF2-40B4-BE49-F238E27FC236}">
              <a16:creationId xmlns:a16="http://schemas.microsoft.com/office/drawing/2014/main" id="{B6F12A94-97A2-4E1B-9B60-33F82D11D3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819400" y="790575"/>
          <a:ext cx="863355" cy="962025"/>
        </a:xfrm>
        <a:prstGeom prst="rect">
          <a:avLst/>
        </a:prstGeom>
      </xdr:spPr>
    </xdr:pic>
    <xdr:clientData/>
  </xdr:twoCellAnchor>
  <xdr:twoCellAnchor>
    <xdr:from>
      <xdr:col>0</xdr:col>
      <xdr:colOff>0</xdr:colOff>
      <xdr:row>30</xdr:row>
      <xdr:rowOff>47625</xdr:rowOff>
    </xdr:from>
    <xdr:to>
      <xdr:col>5</xdr:col>
      <xdr:colOff>571500</xdr:colOff>
      <xdr:row>31</xdr:row>
      <xdr:rowOff>142875</xdr:rowOff>
    </xdr:to>
    <xdr:sp macro="" textlink="">
      <xdr:nvSpPr>
        <xdr:cNvPr id="5" name="CuadroTexto 4">
          <a:extLst>
            <a:ext uri="{FF2B5EF4-FFF2-40B4-BE49-F238E27FC236}">
              <a16:creationId xmlns:a16="http://schemas.microsoft.com/office/drawing/2014/main" id="{A4C605F0-C6D9-497B-8DA9-8F67816DF5C8}"/>
            </a:ext>
          </a:extLst>
        </xdr:cNvPr>
        <xdr:cNvSpPr txBox="1"/>
      </xdr:nvSpPr>
      <xdr:spPr>
        <a:xfrm>
          <a:off x="0" y="5781675"/>
          <a:ext cx="43815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rgbClr val="FFFF00"/>
              </a:solidFill>
            </a:rPr>
            <a:t>Elaborado: C.P. Claudia Mendoza M. / C.P. Alberto Monroy 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722312</xdr:colOff>
      <xdr:row>0</xdr:row>
      <xdr:rowOff>87312</xdr:rowOff>
    </xdr:from>
    <xdr:to>
      <xdr:col>4</xdr:col>
      <xdr:colOff>1636712</xdr:colOff>
      <xdr:row>0</xdr:row>
      <xdr:rowOff>496887</xdr:rowOff>
    </xdr:to>
    <xdr:pic>
      <xdr:nvPicPr>
        <xdr:cNvPr id="2" name="Imagen 1">
          <a:hlinkClick xmlns:r="http://schemas.openxmlformats.org/officeDocument/2006/relationships" r:id="rId1"/>
          <a:extLst>
            <a:ext uri="{FF2B5EF4-FFF2-40B4-BE49-F238E27FC236}">
              <a16:creationId xmlns:a16="http://schemas.microsoft.com/office/drawing/2014/main" id="{DE6FB5A0-A330-48BD-AF2D-41460C8A18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60887" y="87312"/>
          <a:ext cx="914400" cy="409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247650</xdr:colOff>
      <xdr:row>0</xdr:row>
      <xdr:rowOff>85725</xdr:rowOff>
    </xdr:from>
    <xdr:to>
      <xdr:col>5</xdr:col>
      <xdr:colOff>1162050</xdr:colOff>
      <xdr:row>2</xdr:row>
      <xdr:rowOff>114300</xdr:rowOff>
    </xdr:to>
    <xdr:pic>
      <xdr:nvPicPr>
        <xdr:cNvPr id="2" name="Imagen 1">
          <a:hlinkClick xmlns:r="http://schemas.openxmlformats.org/officeDocument/2006/relationships" r:id="rId1"/>
          <a:extLst>
            <a:ext uri="{FF2B5EF4-FFF2-40B4-BE49-F238E27FC236}">
              <a16:creationId xmlns:a16="http://schemas.microsoft.com/office/drawing/2014/main" id="{74BB99A5-5679-4815-AE66-979CC488DB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91200" y="85725"/>
          <a:ext cx="914400" cy="409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1047750</xdr:colOff>
      <xdr:row>0</xdr:row>
      <xdr:rowOff>119063</xdr:rowOff>
    </xdr:from>
    <xdr:to>
      <xdr:col>3</xdr:col>
      <xdr:colOff>1962150</xdr:colOff>
      <xdr:row>2</xdr:row>
      <xdr:rowOff>147638</xdr:rowOff>
    </xdr:to>
    <xdr:pic>
      <xdr:nvPicPr>
        <xdr:cNvPr id="2" name="Imagen 1">
          <a:hlinkClick xmlns:r="http://schemas.openxmlformats.org/officeDocument/2006/relationships" r:id="rId1"/>
          <a:extLst>
            <a:ext uri="{FF2B5EF4-FFF2-40B4-BE49-F238E27FC236}">
              <a16:creationId xmlns:a16="http://schemas.microsoft.com/office/drawing/2014/main" id="{D9CEC487-6940-4A42-A142-7DAE1CF037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19063"/>
          <a:ext cx="914400" cy="409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981808</xdr:colOff>
      <xdr:row>0</xdr:row>
      <xdr:rowOff>80596</xdr:rowOff>
    </xdr:from>
    <xdr:to>
      <xdr:col>6</xdr:col>
      <xdr:colOff>86458</xdr:colOff>
      <xdr:row>2</xdr:row>
      <xdr:rowOff>109171</xdr:rowOff>
    </xdr:to>
    <xdr:pic>
      <xdr:nvPicPr>
        <xdr:cNvPr id="2" name="Imagen 1">
          <a:hlinkClick xmlns:r="http://schemas.openxmlformats.org/officeDocument/2006/relationships" r:id="rId1"/>
          <a:extLst>
            <a:ext uri="{FF2B5EF4-FFF2-40B4-BE49-F238E27FC236}">
              <a16:creationId xmlns:a16="http://schemas.microsoft.com/office/drawing/2014/main" id="{CBB211FD-C94F-4EA9-BD2E-4EA2D85204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29808" y="80596"/>
          <a:ext cx="914400" cy="4095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D1119-062D-438A-98DD-94C7CA7D2324}">
  <sheetPr codeName="Hoja4"/>
  <dimension ref="B2:H9"/>
  <sheetViews>
    <sheetView showGridLines="0" showRowColHeaders="0" tabSelected="1" workbookViewId="0">
      <selection activeCell="G3" sqref="G3:H3"/>
    </sheetView>
  </sheetViews>
  <sheetFormatPr baseColWidth="10" defaultRowHeight="15" x14ac:dyDescent="0.25"/>
  <sheetData>
    <row r="2" spans="2:8" ht="15.75" thickBot="1" x14ac:dyDescent="0.3"/>
    <row r="3" spans="2:8" ht="15.75" thickBot="1" x14ac:dyDescent="0.3">
      <c r="C3" s="234" t="s">
        <v>239</v>
      </c>
      <c r="D3" s="234"/>
      <c r="E3" s="234"/>
      <c r="F3" s="235"/>
      <c r="G3" s="232"/>
      <c r="H3" s="233"/>
    </row>
    <row r="8" spans="2:8" x14ac:dyDescent="0.25">
      <c r="B8" s="22" t="s">
        <v>240</v>
      </c>
      <c r="C8" s="22" t="b">
        <f>EXACT(G3,B8)</f>
        <v>0</v>
      </c>
    </row>
    <row r="9" spans="2:8" x14ac:dyDescent="0.25">
      <c r="B9" s="22"/>
      <c r="C9" s="22"/>
    </row>
  </sheetData>
  <sheetProtection algorithmName="SHA-512" hashValue="RJ9tm4xY/7R4EHNX32dDjYFqliwVaYyBWAnwh3t0/4jgZGX0mEdGpfwUjkszxoQvj/DfSAmCJFGQC82Ys1OL/w==" saltValue="XCQwbNyhd9A8yP4vVv/wAw==" spinCount="100000" sheet="1" objects="1" scenarios="1" selectLockedCells="1"/>
  <mergeCells count="2">
    <mergeCell ref="G3:H3"/>
    <mergeCell ref="C3:F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45277-905C-434A-9B9B-1F4D6D6048B5}">
  <sheetPr codeName="Hoja6"/>
  <dimension ref="A5:K85"/>
  <sheetViews>
    <sheetView showGridLines="0" zoomScale="110" zoomScaleNormal="110" workbookViewId="0">
      <selection activeCell="D17" sqref="D17"/>
    </sheetView>
  </sheetViews>
  <sheetFormatPr baseColWidth="10" defaultColWidth="9.140625" defaultRowHeight="15" x14ac:dyDescent="0.25"/>
  <cols>
    <col min="2" max="2" width="38.5703125" customWidth="1"/>
    <col min="3" max="3" width="21.5703125" customWidth="1"/>
    <col min="4" max="4" width="30.28515625" customWidth="1"/>
    <col min="5" max="5" width="3.140625" customWidth="1"/>
    <col min="6" max="6" width="29" customWidth="1"/>
    <col min="7" max="7" width="17.140625" customWidth="1"/>
    <col min="8" max="8" width="20" customWidth="1"/>
    <col min="9" max="9" width="18.7109375" customWidth="1"/>
  </cols>
  <sheetData>
    <row r="5" spans="2:10" ht="18.75" x14ac:dyDescent="0.3">
      <c r="B5" s="340" t="s">
        <v>597</v>
      </c>
      <c r="C5" s="340"/>
      <c r="D5" s="340"/>
      <c r="E5" s="340"/>
      <c r="F5" s="340"/>
      <c r="G5" s="340"/>
      <c r="H5" s="340"/>
      <c r="I5" s="340"/>
    </row>
    <row r="6" spans="2:10" ht="18.75" x14ac:dyDescent="0.3">
      <c r="B6" s="202"/>
      <c r="C6" s="202"/>
      <c r="D6" s="202"/>
      <c r="E6" s="202"/>
      <c r="F6" s="202"/>
      <c r="G6" s="202"/>
      <c r="H6" s="202"/>
      <c r="I6" s="202"/>
    </row>
    <row r="7" spans="2:10" x14ac:dyDescent="0.25">
      <c r="B7" s="203" t="s">
        <v>169</v>
      </c>
      <c r="D7" s="24"/>
    </row>
    <row r="9" spans="2:10" x14ac:dyDescent="0.25">
      <c r="B9" s="341" t="s">
        <v>598</v>
      </c>
      <c r="C9" s="341"/>
      <c r="D9" s="341"/>
      <c r="E9" s="341"/>
      <c r="F9" s="341"/>
      <c r="G9" s="341"/>
      <c r="H9" s="341"/>
      <c r="I9" s="341"/>
    </row>
    <row r="11" spans="2:10" x14ac:dyDescent="0.25">
      <c r="B11" s="335" t="s">
        <v>168</v>
      </c>
      <c r="C11" s="339"/>
      <c r="D11" s="24"/>
      <c r="F11" s="44" t="s">
        <v>599</v>
      </c>
    </row>
    <row r="12" spans="2:10" x14ac:dyDescent="0.25">
      <c r="B12" s="335" t="s">
        <v>169</v>
      </c>
      <c r="C12" s="339"/>
      <c r="D12" s="24"/>
      <c r="G12" s="204" t="s">
        <v>600</v>
      </c>
      <c r="H12" s="204" t="s">
        <v>601</v>
      </c>
    </row>
    <row r="13" spans="2:10" x14ac:dyDescent="0.25">
      <c r="B13" s="335" t="str">
        <f>IFERROR(IF(ISODD(MONTH(D7)),"Días devengados del bimestre a calcular",""),"")</f>
        <v>Días devengados del bimestre a calcular</v>
      </c>
      <c r="C13" s="339"/>
      <c r="D13" s="82"/>
      <c r="F13" s="38" t="s">
        <v>602</v>
      </c>
      <c r="G13" s="223"/>
      <c r="H13" s="223"/>
      <c r="I13" s="42" t="str">
        <f>IFERROR(IF(G13=H13,"No integra al SBC","Integra $"&amp;ROUND(D14*G13,2)),"")</f>
        <v>No integra al SBC</v>
      </c>
    </row>
    <row r="14" spans="2:10" x14ac:dyDescent="0.25">
      <c r="B14" s="335" t="s">
        <v>603</v>
      </c>
      <c r="C14" s="339"/>
      <c r="D14" s="18"/>
      <c r="F14" s="38" t="s">
        <v>141</v>
      </c>
      <c r="G14" s="82"/>
      <c r="H14" s="205" t="str">
        <f>IF(G14="Sí","Cobro al trabajador","")</f>
        <v/>
      </c>
      <c r="I14" s="41"/>
      <c r="J14" s="38" t="str">
        <f>IFERROR(IF(H14&lt;&gt;"",IF(I14&gt;=ROUND(D19*0.2,2),"No integra","Integra "&amp;TEXT(0.25,"0%")&amp;" del salario"),""),"")</f>
        <v/>
      </c>
    </row>
    <row r="15" spans="2:10" x14ac:dyDescent="0.25">
      <c r="B15" s="335" t="s">
        <v>605</v>
      </c>
      <c r="C15" s="339"/>
      <c r="D15" s="82"/>
      <c r="F15" s="38" t="s">
        <v>606</v>
      </c>
      <c r="G15" s="82"/>
      <c r="H15" s="205" t="str">
        <f>IFERROR(IF(G15&lt;&gt;"","Cobro al trabajador",""),"")</f>
        <v/>
      </c>
      <c r="I15" s="206">
        <v>20</v>
      </c>
    </row>
    <row r="16" spans="2:10" x14ac:dyDescent="0.25">
      <c r="B16" s="335" t="s">
        <v>607</v>
      </c>
      <c r="C16" s="339"/>
      <c r="D16" s="207" t="str">
        <f>IFERROR(IF(AND(D11&lt;&gt;"",D12&lt;&gt;""),VLOOKUP(VALUE(DATEDIF(D11,D12,"y")&amp;"."&amp;DATEDIF(D11,D12,"YM")&amp;DATEDIF(D11,D12,"MD")),TABLAV,3),""),"")</f>
        <v/>
      </c>
      <c r="F16" s="38" t="s">
        <v>608</v>
      </c>
      <c r="G16" s="82"/>
      <c r="H16" s="38" t="str">
        <f>IFERROR(IF(G16&lt;&gt;"",IF(G16&gt;ROUND(D19*0.4,2),"Integra $"&amp;ROUND(G16-(D19*0.4),2),""),""),"")</f>
        <v/>
      </c>
    </row>
    <row r="17" spans="2:4" x14ac:dyDescent="0.25">
      <c r="B17" s="335" t="s">
        <v>609</v>
      </c>
      <c r="C17" s="339"/>
      <c r="D17" s="223"/>
    </row>
    <row r="18" spans="2:4" x14ac:dyDescent="0.25">
      <c r="B18" s="335" t="s">
        <v>414</v>
      </c>
      <c r="C18" s="339"/>
      <c r="D18" s="82"/>
    </row>
    <row r="19" spans="2:4" x14ac:dyDescent="0.25">
      <c r="B19" s="335" t="s">
        <v>610</v>
      </c>
      <c r="C19" s="339"/>
      <c r="D19" s="82"/>
    </row>
    <row r="21" spans="2:4" x14ac:dyDescent="0.25">
      <c r="B21" s="336" t="s">
        <v>611</v>
      </c>
      <c r="C21" s="337"/>
      <c r="D21" s="338"/>
    </row>
    <row r="23" spans="2:4" x14ac:dyDescent="0.25">
      <c r="B23" s="335" t="s">
        <v>612</v>
      </c>
      <c r="C23" s="335"/>
      <c r="D23" t="str">
        <f>IFERROR(ROUND(1+(D15/365)+(D16/365*D17),4),"")</f>
        <v/>
      </c>
    </row>
    <row r="24" spans="2:4" x14ac:dyDescent="0.25">
      <c r="B24" s="335" t="s">
        <v>613</v>
      </c>
      <c r="C24" s="335"/>
      <c r="D24" s="208" t="str">
        <f>IFERROR(ROUND(D14*D23,2),"")</f>
        <v/>
      </c>
    </row>
    <row r="25" spans="2:4" x14ac:dyDescent="0.25">
      <c r="B25" s="335" t="s">
        <v>614</v>
      </c>
      <c r="C25" s="335"/>
      <c r="D25" s="208">
        <f>IFERROR(IF(ISNUMBER(I13),I13,0),"")</f>
        <v>0</v>
      </c>
    </row>
    <row r="26" spans="2:4" x14ac:dyDescent="0.25">
      <c r="B26" s="47" t="s">
        <v>141</v>
      </c>
      <c r="C26" s="47"/>
      <c r="D26" s="208" t="str">
        <f>IFERROR(IF(OR(J14="",J14="No integra"),"",ROUND(D14*0.25,2)),0)</f>
        <v/>
      </c>
    </row>
    <row r="27" spans="2:4" x14ac:dyDescent="0.25">
      <c r="B27" s="335" t="s">
        <v>615</v>
      </c>
      <c r="C27" s="335"/>
      <c r="D27" s="208">
        <f>IFERROR(IF(I15&lt;ROUND(D19*0.2,2),IF(G15=1,ROUND(D14*0.0833,2),IF(G15=2,ROUND(D14*0.1666,2),ROUND(D14*0.25,2))),0),"")</f>
        <v>0</v>
      </c>
    </row>
    <row r="28" spans="2:4" x14ac:dyDescent="0.25">
      <c r="B28" s="335" t="s">
        <v>616</v>
      </c>
      <c r="C28" s="335"/>
      <c r="D28" s="208">
        <f>IFERROR(IF(G16&gt;ROUND(D19*0.4,2),ROUND(G16-D19*0.4,2),0),"")</f>
        <v>0</v>
      </c>
    </row>
    <row r="29" spans="2:4" x14ac:dyDescent="0.25">
      <c r="B29" s="335" t="str">
        <f>IFERROR(IF(ISODD(MONTH(D7)),"(+) Variables del bimestre anterior ("&amp;TEXT(EOMONTH(D7,-2),"mmmm")&amp;"-"&amp;TEXT(EOMONTH(D7,-1),"mmmm")&amp; " " &amp; IF(MONTH(D7)=1,YEAR(D7)-1,YEAR(D7))&amp;")",""),"")</f>
        <v/>
      </c>
      <c r="C29" s="335"/>
      <c r="D29" s="208"/>
    </row>
    <row r="30" spans="2:4" x14ac:dyDescent="0.25">
      <c r="B30" s="121" t="str">
        <f>IF($B$29&lt;&gt;"","Premio de puntualidad " &amp;TEXT(EOMONTH($D$7,-2),"mmmm"),"")</f>
        <v/>
      </c>
      <c r="C30" s="82"/>
    </row>
    <row r="31" spans="2:4" x14ac:dyDescent="0.25">
      <c r="B31" s="121" t="str">
        <f>IF($B$29&lt;&gt;"","Premio de puntualidad " &amp;TEXT(EOMONTH($D$7,-1),"mmmm"),"")</f>
        <v/>
      </c>
      <c r="C31" s="82"/>
      <c r="D31" s="41" t="str">
        <f>IFERROR(IF(ROUND((C30+C31)/$D$13,2)&gt;=(SUMIF($D$24:$D$28,"&gt;0")*0.1),ROUND(((C30+C31)/$D$13)-(SUMIF($D$24:$D$28,"&gt;0")*0.1),2),""),"")</f>
        <v/>
      </c>
    </row>
    <row r="32" spans="2:4" x14ac:dyDescent="0.25">
      <c r="B32" s="121" t="str">
        <f>IF($B$29&lt;&gt;"","Premio de asistencia " &amp;TEXT(EOMONTH($D$7,-2),"mmmm"),"")</f>
        <v/>
      </c>
      <c r="C32" s="82"/>
      <c r="D32" s="41"/>
    </row>
    <row r="33" spans="1:11" x14ac:dyDescent="0.25">
      <c r="B33" s="121" t="str">
        <f>IF($B$29&lt;&gt;"","Premio de asistencia " &amp;TEXT(EOMONTH($D$7,-1),"mmmm"),"")</f>
        <v/>
      </c>
      <c r="C33" s="82"/>
      <c r="D33" s="41" t="str">
        <f>IFERROR(IF(ROUND((C32+C33)/$D$13,2)&gt;=(SUMIF($D$24:$D$28,"&gt;0")*0.1),ROUND(((C32+C33)/$D$13)-(SUMIF($D$24:$D$28,"&gt;0")*0.1),2),""),"")</f>
        <v/>
      </c>
    </row>
    <row r="34" spans="1:11" x14ac:dyDescent="0.25">
      <c r="B34" s="121" t="str">
        <f>IF($B$29&lt;&gt;"","Comisiones " &amp;TEXT(EOMONTH($D$7,-2),"mmmm"),"")</f>
        <v/>
      </c>
      <c r="C34" s="82"/>
      <c r="D34" s="41"/>
    </row>
    <row r="35" spans="1:11" x14ac:dyDescent="0.25">
      <c r="B35" s="121" t="str">
        <f>IF($B$29&lt;&gt;"","Comisiones " &amp;TEXT(EOMONTH($D$7,-1),"mmmm"),"")</f>
        <v/>
      </c>
      <c r="C35" s="82"/>
      <c r="D35" s="41" t="str">
        <f>IFERROR(ROUND((C34+C35)/$D$13,2),"")</f>
        <v/>
      </c>
    </row>
    <row r="36" spans="1:11" x14ac:dyDescent="0.25">
      <c r="B36" s="121" t="str">
        <f>IF($B$29&lt;&gt;"","Otros " &amp;TEXT(EOMONTH($D$7,-2),"mmmm"),"")</f>
        <v/>
      </c>
      <c r="C36" s="82"/>
      <c r="D36" s="41"/>
    </row>
    <row r="37" spans="1:11" x14ac:dyDescent="0.25">
      <c r="B37" s="121" t="str">
        <f>IF($B$29&lt;&gt;"","Otros " &amp;TEXT(EOMONTH($D$7,-1),"mmmm"),"")</f>
        <v/>
      </c>
      <c r="C37" s="82"/>
      <c r="D37" s="41" t="str">
        <f>IFERROR(ROUND((C36+C37)/$D$13,2),"")</f>
        <v/>
      </c>
    </row>
    <row r="38" spans="1:11" x14ac:dyDescent="0.25">
      <c r="B38" s="121" t="str">
        <f>IF($B$29&lt;&gt;"","(=) Salario base de cotización","")</f>
        <v/>
      </c>
      <c r="C38" s="208"/>
      <c r="D38" s="222">
        <f>IFERROR(SUMIF($D$24:$D$37,"&gt;0"),"")</f>
        <v>0</v>
      </c>
    </row>
    <row r="39" spans="1:11" x14ac:dyDescent="0.25">
      <c r="B39" s="121"/>
      <c r="C39" s="208"/>
      <c r="D39" s="208"/>
    </row>
    <row r="40" spans="1:11" x14ac:dyDescent="0.25">
      <c r="B40" s="38" t="s">
        <v>617</v>
      </c>
      <c r="C40" s="208">
        <f>IFERROR(ROUND(D19*25,2),"")</f>
        <v>0</v>
      </c>
      <c r="D40" s="208"/>
    </row>
    <row r="43" spans="1:11" x14ac:dyDescent="0.25">
      <c r="A43" s="103"/>
      <c r="B43" s="103"/>
      <c r="C43" s="103"/>
      <c r="D43" s="103"/>
      <c r="E43" s="103"/>
      <c r="F43" s="103"/>
      <c r="G43" s="103"/>
      <c r="H43" s="103"/>
      <c r="I43" s="103"/>
      <c r="J43" s="103"/>
      <c r="K43" s="103"/>
    </row>
    <row r="45" spans="1:11" x14ac:dyDescent="0.25">
      <c r="B45" s="38" t="s">
        <v>618</v>
      </c>
    </row>
    <row r="46" spans="1:11" x14ac:dyDescent="0.25">
      <c r="B46" s="38"/>
    </row>
    <row r="47" spans="1:11" x14ac:dyDescent="0.25">
      <c r="B47" s="203" t="s">
        <v>414</v>
      </c>
      <c r="C47" s="220"/>
    </row>
    <row r="48" spans="1:11" x14ac:dyDescent="0.25">
      <c r="B48" s="38" t="s">
        <v>619</v>
      </c>
      <c r="C48" s="82"/>
    </row>
    <row r="49" spans="1:11" ht="30" x14ac:dyDescent="0.25">
      <c r="B49" s="209" t="s">
        <v>620</v>
      </c>
      <c r="C49" s="209" t="s">
        <v>621</v>
      </c>
      <c r="D49" s="210" t="s">
        <v>622</v>
      </c>
    </row>
    <row r="50" spans="1:11" x14ac:dyDescent="0.25">
      <c r="B50" s="2" t="s">
        <v>623</v>
      </c>
      <c r="C50" s="224"/>
      <c r="D50" s="211" t="str">
        <f>IFERROR(IF(C50&lt;&gt;"",ROUND(C50*$C$48,2),""),"")</f>
        <v/>
      </c>
    </row>
    <row r="51" spans="1:11" x14ac:dyDescent="0.25">
      <c r="B51" s="2" t="s">
        <v>624</v>
      </c>
      <c r="C51" s="224"/>
      <c r="D51" s="211" t="str">
        <f t="shared" ref="D51:D56" si="0">IFERROR(IF(C51&lt;&gt;"",ROUND(C51*$C$48,2),""),"")</f>
        <v/>
      </c>
    </row>
    <row r="52" spans="1:11" x14ac:dyDescent="0.25">
      <c r="B52" s="2" t="s">
        <v>625</v>
      </c>
      <c r="C52" s="224"/>
      <c r="D52" s="211" t="str">
        <f t="shared" si="0"/>
        <v/>
      </c>
    </row>
    <row r="53" spans="1:11" x14ac:dyDescent="0.25">
      <c r="B53" s="2" t="s">
        <v>626</v>
      </c>
      <c r="C53" s="224"/>
      <c r="D53" s="211" t="str">
        <f t="shared" si="0"/>
        <v/>
      </c>
    </row>
    <row r="54" spans="1:11" x14ac:dyDescent="0.25">
      <c r="B54" s="2" t="s">
        <v>627</v>
      </c>
      <c r="C54" s="224"/>
      <c r="D54" s="211" t="str">
        <f t="shared" si="0"/>
        <v/>
      </c>
    </row>
    <row r="55" spans="1:11" x14ac:dyDescent="0.25">
      <c r="B55" s="2" t="s">
        <v>628</v>
      </c>
      <c r="C55" s="224"/>
      <c r="D55" s="211" t="str">
        <f t="shared" si="0"/>
        <v/>
      </c>
    </row>
    <row r="56" spans="1:11" x14ac:dyDescent="0.25">
      <c r="B56" s="2" t="s">
        <v>629</v>
      </c>
      <c r="C56" s="224"/>
      <c r="D56" s="211" t="str">
        <f t="shared" si="0"/>
        <v/>
      </c>
    </row>
    <row r="57" spans="1:11" x14ac:dyDescent="0.25">
      <c r="C57" t="s">
        <v>630</v>
      </c>
      <c r="D57" s="49">
        <f>SUMIF(D50:D56,"&gt;0")</f>
        <v>0</v>
      </c>
    </row>
    <row r="58" spans="1:11" x14ac:dyDescent="0.25">
      <c r="C58" t="s">
        <v>196</v>
      </c>
      <c r="D58" s="22">
        <v>7</v>
      </c>
    </row>
    <row r="59" spans="1:11" x14ac:dyDescent="0.25">
      <c r="C59" t="s">
        <v>631</v>
      </c>
      <c r="D59" s="22">
        <f>IFERROR(ROUND(D57/D58,2),"")</f>
        <v>0</v>
      </c>
    </row>
    <row r="60" spans="1:11" x14ac:dyDescent="0.25">
      <c r="D60" s="22"/>
    </row>
    <row r="61" spans="1:11" x14ac:dyDescent="0.25">
      <c r="C61" s="212" t="s">
        <v>632</v>
      </c>
      <c r="D61" s="120">
        <f>IFERROR(IF(D59&gt;=C47,D59,C47),"")</f>
        <v>0</v>
      </c>
    </row>
    <row r="63" spans="1:11" x14ac:dyDescent="0.25">
      <c r="A63" s="213"/>
      <c r="B63" s="213"/>
      <c r="C63" s="213"/>
      <c r="D63" s="213"/>
      <c r="E63" s="213"/>
      <c r="F63" s="213"/>
      <c r="G63" s="213"/>
      <c r="H63" s="213"/>
      <c r="I63" s="213"/>
      <c r="J63" s="213"/>
      <c r="K63" s="213"/>
    </row>
    <row r="65" spans="2:4" x14ac:dyDescent="0.25">
      <c r="B65" s="38" t="s">
        <v>633</v>
      </c>
    </row>
    <row r="66" spans="2:4" x14ac:dyDescent="0.25">
      <c r="B66" s="38"/>
    </row>
    <row r="67" spans="2:4" x14ac:dyDescent="0.25">
      <c r="B67" s="203" t="s">
        <v>414</v>
      </c>
      <c r="C67" s="220"/>
    </row>
    <row r="68" spans="2:4" x14ac:dyDescent="0.25">
      <c r="B68" s="38" t="s">
        <v>171</v>
      </c>
      <c r="C68" s="220"/>
    </row>
    <row r="69" spans="2:4" ht="30" x14ac:dyDescent="0.25">
      <c r="B69" s="209" t="s">
        <v>620</v>
      </c>
      <c r="C69" s="209" t="s">
        <v>634</v>
      </c>
      <c r="D69" s="210" t="s">
        <v>622</v>
      </c>
    </row>
    <row r="70" spans="2:4" x14ac:dyDescent="0.25">
      <c r="B70" s="2" t="s">
        <v>623</v>
      </c>
      <c r="C70" s="17" t="s">
        <v>604</v>
      </c>
      <c r="D70" s="211">
        <f>IFERROR(IF(C70="Sí",$C$68,""),"")</f>
        <v>0</v>
      </c>
    </row>
    <row r="71" spans="2:4" x14ac:dyDescent="0.25">
      <c r="B71" s="2" t="s">
        <v>624</v>
      </c>
      <c r="C71" s="17"/>
      <c r="D71" s="211" t="str">
        <f t="shared" ref="D71:D76" si="1">IFERROR(IF(C71="Sí",$C$68,""),"")</f>
        <v/>
      </c>
    </row>
    <row r="72" spans="2:4" x14ac:dyDescent="0.25">
      <c r="B72" s="2" t="s">
        <v>625</v>
      </c>
      <c r="C72" s="17" t="s">
        <v>604</v>
      </c>
      <c r="D72" s="211">
        <f t="shared" si="1"/>
        <v>0</v>
      </c>
    </row>
    <row r="73" spans="2:4" x14ac:dyDescent="0.25">
      <c r="B73" s="2" t="s">
        <v>626</v>
      </c>
      <c r="C73" s="17"/>
      <c r="D73" s="211" t="str">
        <f t="shared" si="1"/>
        <v/>
      </c>
    </row>
    <row r="74" spans="2:4" x14ac:dyDescent="0.25">
      <c r="B74" s="2" t="s">
        <v>627</v>
      </c>
      <c r="C74" s="17" t="s">
        <v>604</v>
      </c>
      <c r="D74" s="211">
        <f t="shared" si="1"/>
        <v>0</v>
      </c>
    </row>
    <row r="75" spans="2:4" x14ac:dyDescent="0.25">
      <c r="B75" s="2" t="s">
        <v>628</v>
      </c>
      <c r="C75" s="17" t="s">
        <v>604</v>
      </c>
      <c r="D75" s="211">
        <f t="shared" si="1"/>
        <v>0</v>
      </c>
    </row>
    <row r="76" spans="2:4" x14ac:dyDescent="0.25">
      <c r="B76" s="2" t="s">
        <v>629</v>
      </c>
      <c r="C76" s="17"/>
      <c r="D76" s="211" t="str">
        <f t="shared" si="1"/>
        <v/>
      </c>
    </row>
    <row r="77" spans="2:4" x14ac:dyDescent="0.25">
      <c r="C77" s="212" t="s">
        <v>630</v>
      </c>
      <c r="D77" s="50">
        <f>SUMIF(D70:D76,"&gt;0")</f>
        <v>0</v>
      </c>
    </row>
    <row r="78" spans="2:4" x14ac:dyDescent="0.25">
      <c r="C78" s="212" t="s">
        <v>635</v>
      </c>
      <c r="D78" s="50">
        <f>IFERROR(ROUND(D77*(1/6),2),"")</f>
        <v>0</v>
      </c>
    </row>
    <row r="79" spans="2:4" x14ac:dyDescent="0.25">
      <c r="C79" s="212" t="s">
        <v>636</v>
      </c>
      <c r="D79" s="50">
        <f>SUMIF(D77:D78,"&gt;0")</f>
        <v>0</v>
      </c>
    </row>
    <row r="80" spans="2:4" x14ac:dyDescent="0.25">
      <c r="C80" s="212" t="s">
        <v>196</v>
      </c>
      <c r="D80" s="22">
        <v>7</v>
      </c>
    </row>
    <row r="81" spans="3:4" x14ac:dyDescent="0.25">
      <c r="C81" s="212" t="s">
        <v>179</v>
      </c>
      <c r="D81" s="49">
        <f>IFERROR(ROUND(D79/D80,2),"")</f>
        <v>0</v>
      </c>
    </row>
    <row r="82" spans="3:4" x14ac:dyDescent="0.25">
      <c r="C82" s="212" t="s">
        <v>637</v>
      </c>
      <c r="D82" s="225"/>
    </row>
    <row r="83" spans="3:4" x14ac:dyDescent="0.25">
      <c r="C83" s="212" t="s">
        <v>631</v>
      </c>
      <c r="D83" s="50">
        <f>IFERROR(ROUND(D81+D82,2),"")</f>
        <v>0</v>
      </c>
    </row>
    <row r="84" spans="3:4" x14ac:dyDescent="0.25">
      <c r="D84" s="22"/>
    </row>
    <row r="85" spans="3:4" x14ac:dyDescent="0.25">
      <c r="C85" s="212" t="s">
        <v>632</v>
      </c>
      <c r="D85" s="50">
        <f>IFERROR(IF(D83&gt;=C67,D83,C67),"")</f>
        <v>0</v>
      </c>
    </row>
  </sheetData>
  <mergeCells count="18">
    <mergeCell ref="B14:C14"/>
    <mergeCell ref="B5:I5"/>
    <mergeCell ref="B9:I9"/>
    <mergeCell ref="B11:C11"/>
    <mergeCell ref="B12:C12"/>
    <mergeCell ref="B13:C13"/>
    <mergeCell ref="B15:C15"/>
    <mergeCell ref="B16:C16"/>
    <mergeCell ref="B17:C17"/>
    <mergeCell ref="B18:C18"/>
    <mergeCell ref="B19:C19"/>
    <mergeCell ref="B29:C29"/>
    <mergeCell ref="B21:D21"/>
    <mergeCell ref="B23:C23"/>
    <mergeCell ref="B24:C24"/>
    <mergeCell ref="B25:C25"/>
    <mergeCell ref="B27:C27"/>
    <mergeCell ref="B28:C28"/>
  </mergeCells>
  <conditionalFormatting sqref="D13:D17">
    <cfRule type="notContainsBlanks" dxfId="5" priority="8">
      <formula>LEN(TRIM(D13))&gt;0</formula>
    </cfRule>
  </conditionalFormatting>
  <conditionalFormatting sqref="D31 D33 D35 D37">
    <cfRule type="expression" dxfId="4" priority="4">
      <formula>IF($B$13&lt;&gt;"",1,0)</formula>
    </cfRule>
  </conditionalFormatting>
  <conditionalFormatting sqref="G14:G16">
    <cfRule type="notContainsBlanks" dxfId="3" priority="1">
      <formula>LEN(TRIM(G14))&gt;0</formula>
    </cfRule>
  </conditionalFormatting>
  <conditionalFormatting sqref="G13:H13">
    <cfRule type="notContainsBlanks" dxfId="2" priority="2">
      <formula>LEN(TRIM(G13))&gt;0</formula>
    </cfRule>
  </conditionalFormatting>
  <conditionalFormatting sqref="I14">
    <cfRule type="expression" dxfId="1" priority="3">
      <formula>IF($H$14&lt;&gt;"",1,0)</formula>
    </cfRule>
  </conditionalFormatting>
  <conditionalFormatting sqref="I15">
    <cfRule type="expression" dxfId="0" priority="7">
      <formula>IF($H$15&lt;&gt;"",1,0)</formula>
    </cfRule>
  </conditionalFormatting>
  <dataValidations count="2">
    <dataValidation type="list" allowBlank="1" showInputMessage="1" showErrorMessage="1" errorTitle="SBC semana reducida" error="Solo se permiten datos de la lista" sqref="C70:C76" xr:uid="{2DBBA8D2-22F9-4FC5-B607-64229248D619}">
      <formula1>"Sí,No"</formula1>
    </dataValidation>
    <dataValidation type="custom" allowBlank="1" showInputMessage="1" showErrorMessage="1" errorTitle="Nomina" error="No a capturado la contraseña en la hoja de portada" sqref="D7 D11:D15 D17 G13:H13 G14:G16" xr:uid="{8D7F53B3-35F7-4091-AEA3-EB1AD89DCB01}">
      <formula1>IF(COMPA=TRUE,1,0)</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DD14B-4853-43DB-8089-7BC61D54AA28}">
  <sheetPr codeName="Hoja7"/>
  <dimension ref="B4:N19"/>
  <sheetViews>
    <sheetView showGridLines="0" zoomScale="130" zoomScaleNormal="130" workbookViewId="0">
      <selection activeCell="H14" sqref="H14"/>
    </sheetView>
  </sheetViews>
  <sheetFormatPr baseColWidth="10" defaultColWidth="9.140625" defaultRowHeight="15" x14ac:dyDescent="0.25"/>
  <cols>
    <col min="1" max="1" width="6.5703125" customWidth="1"/>
    <col min="2" max="2" width="5.7109375" customWidth="1"/>
    <col min="3" max="3" width="18.28515625" customWidth="1"/>
    <col min="4" max="4" width="15.140625" customWidth="1"/>
    <col min="5" max="5" width="15.85546875" customWidth="1"/>
    <col min="6" max="6" width="11.28515625" customWidth="1"/>
    <col min="7" max="7" width="11.7109375" customWidth="1"/>
    <col min="8" max="8" width="13" customWidth="1"/>
    <col min="9" max="9" width="13.5703125" customWidth="1"/>
    <col min="10" max="10" width="14.42578125" customWidth="1"/>
    <col min="11" max="11" width="12" customWidth="1"/>
    <col min="12" max="12" width="12.5703125" customWidth="1"/>
    <col min="14" max="14" width="10.85546875" customWidth="1"/>
  </cols>
  <sheetData>
    <row r="4" spans="2:14" ht="45" x14ac:dyDescent="0.25">
      <c r="C4" s="25" t="s">
        <v>638</v>
      </c>
      <c r="D4" s="25" t="s">
        <v>639</v>
      </c>
      <c r="E4" s="25" t="s">
        <v>414</v>
      </c>
      <c r="F4" s="25" t="s">
        <v>640</v>
      </c>
      <c r="G4" s="25" t="s">
        <v>641</v>
      </c>
      <c r="H4" s="25" t="s">
        <v>642</v>
      </c>
      <c r="I4" s="25" t="s">
        <v>643</v>
      </c>
      <c r="J4" s="25" t="s">
        <v>644</v>
      </c>
      <c r="K4" s="25" t="s">
        <v>645</v>
      </c>
      <c r="L4" s="25" t="s">
        <v>646</v>
      </c>
      <c r="M4" s="25" t="s">
        <v>647</v>
      </c>
      <c r="N4" s="25" t="s">
        <v>648</v>
      </c>
    </row>
    <row r="5" spans="2:14" x14ac:dyDescent="0.25">
      <c r="B5" s="214" t="s">
        <v>220</v>
      </c>
      <c r="C5" s="2" t="s">
        <v>649</v>
      </c>
      <c r="D5" s="82">
        <v>700</v>
      </c>
      <c r="E5" s="23">
        <v>315.04000000000002</v>
      </c>
      <c r="F5" s="23">
        <f>IFERROR(ROUND(D5/E5,2),"")</f>
        <v>2.2200000000000002</v>
      </c>
      <c r="G5" s="231">
        <v>0.2</v>
      </c>
      <c r="H5" s="215">
        <f>IFERROR(VLOOKUP(ROUND(D5/E5,2),$C$12:$G$19,IF(G5=20%,3,IF(G5=25%,4,5))),"")</f>
        <v>0.157</v>
      </c>
      <c r="I5" s="216"/>
      <c r="J5" s="23">
        <v>55</v>
      </c>
      <c r="K5" s="217">
        <f>D5*H5</f>
        <v>109.9</v>
      </c>
      <c r="L5" s="46">
        <f>IFERROR(K5*J5,"")</f>
        <v>6044.5</v>
      </c>
      <c r="M5" s="46">
        <v>15</v>
      </c>
      <c r="N5" s="46">
        <f>IFERROR(L5+M5,"")</f>
        <v>6059.5</v>
      </c>
    </row>
    <row r="6" spans="2:14" x14ac:dyDescent="0.25">
      <c r="C6" s="2" t="s">
        <v>188</v>
      </c>
      <c r="D6" s="46">
        <v>1300</v>
      </c>
      <c r="E6" s="218"/>
      <c r="F6" s="218"/>
      <c r="G6" s="218"/>
      <c r="H6" s="218"/>
      <c r="I6" s="216"/>
      <c r="J6" s="23">
        <v>59</v>
      </c>
      <c r="K6" s="217">
        <f>IFERROR((D6*2)/J6,"")</f>
        <v>44.067796610169495</v>
      </c>
      <c r="L6" s="46">
        <f>IFERROR(K6*J6,"")</f>
        <v>2600</v>
      </c>
      <c r="M6" s="46">
        <v>15</v>
      </c>
      <c r="N6" s="46">
        <f t="shared" ref="N6:N7" si="0">IFERROR(L6+M6,"")</f>
        <v>2615</v>
      </c>
    </row>
    <row r="7" spans="2:14" x14ac:dyDescent="0.25">
      <c r="C7" s="2" t="s">
        <v>650</v>
      </c>
      <c r="D7" s="218"/>
      <c r="E7" s="218"/>
      <c r="F7" s="218"/>
      <c r="G7" s="218"/>
      <c r="H7" s="23">
        <v>26.678999999999998</v>
      </c>
      <c r="I7" s="23">
        <v>100.81</v>
      </c>
      <c r="J7" s="23">
        <v>59</v>
      </c>
      <c r="K7" s="46">
        <f>IFERROR((H7*I7*2)/59,"")</f>
        <v>91.169830169491533</v>
      </c>
      <c r="L7" s="46">
        <f>IFERROR(K7*J7,"")</f>
        <v>5379.01998</v>
      </c>
      <c r="M7" s="46">
        <v>15</v>
      </c>
      <c r="N7" s="46">
        <f t="shared" si="0"/>
        <v>5394.01998</v>
      </c>
    </row>
    <row r="11" spans="2:14" x14ac:dyDescent="0.25">
      <c r="B11" s="214" t="s">
        <v>220</v>
      </c>
      <c r="C11" s="38" t="s">
        <v>413</v>
      </c>
    </row>
    <row r="12" spans="2:14" ht="30" customHeight="1" x14ac:dyDescent="0.25">
      <c r="C12" s="342" t="s">
        <v>651</v>
      </c>
      <c r="D12" s="343"/>
      <c r="E12" s="344" t="s">
        <v>652</v>
      </c>
      <c r="F12" s="344" t="s">
        <v>653</v>
      </c>
      <c r="G12" s="344" t="s">
        <v>654</v>
      </c>
    </row>
    <row r="13" spans="2:14" x14ac:dyDescent="0.25">
      <c r="C13" s="219" t="s">
        <v>655</v>
      </c>
      <c r="D13" s="219" t="s">
        <v>210</v>
      </c>
      <c r="E13" s="345"/>
      <c r="F13" s="345"/>
      <c r="G13" s="345"/>
    </row>
    <row r="14" spans="2:14" x14ac:dyDescent="0.25">
      <c r="C14" s="2">
        <v>1</v>
      </c>
      <c r="D14" s="2">
        <v>2.5</v>
      </c>
      <c r="E14" s="122">
        <v>0.157</v>
      </c>
      <c r="F14" s="122">
        <v>0.19600000000000001</v>
      </c>
      <c r="G14" s="122">
        <v>0.246</v>
      </c>
    </row>
    <row r="15" spans="2:14" x14ac:dyDescent="0.25">
      <c r="C15" s="2">
        <v>2.5</v>
      </c>
      <c r="D15" s="2">
        <v>3.5</v>
      </c>
      <c r="E15" s="122">
        <v>0.16800000000000001</v>
      </c>
      <c r="F15" s="122">
        <v>0.21</v>
      </c>
      <c r="G15" s="122">
        <v>0.26</v>
      </c>
    </row>
    <row r="16" spans="2:14" x14ac:dyDescent="0.25">
      <c r="C16" s="2">
        <v>3.5</v>
      </c>
      <c r="D16" s="2">
        <v>4.5</v>
      </c>
      <c r="E16" s="122">
        <v>0.17199999999999999</v>
      </c>
      <c r="F16" s="122">
        <v>0.215</v>
      </c>
      <c r="G16" s="122">
        <v>0.26500000000000001</v>
      </c>
    </row>
    <row r="17" spans="3:7" x14ac:dyDescent="0.25">
      <c r="C17" s="2">
        <v>4.5</v>
      </c>
      <c r="D17" s="2">
        <v>5.5</v>
      </c>
      <c r="E17" s="122">
        <v>0.17699999999999999</v>
      </c>
      <c r="F17" s="122">
        <v>0.221</v>
      </c>
      <c r="G17" s="122">
        <v>0.27100000000000002</v>
      </c>
    </row>
    <row r="18" spans="3:7" x14ac:dyDescent="0.25">
      <c r="C18" s="2">
        <v>5.5</v>
      </c>
      <c r="D18" s="2">
        <v>6.5</v>
      </c>
      <c r="E18" s="122">
        <v>0.17799999999999999</v>
      </c>
      <c r="F18" s="122">
        <v>0.223</v>
      </c>
      <c r="G18" s="122">
        <v>0.27300000000000002</v>
      </c>
    </row>
    <row r="19" spans="3:7" x14ac:dyDescent="0.25">
      <c r="C19" s="2">
        <v>6.5</v>
      </c>
      <c r="D19" s="2">
        <v>999999</v>
      </c>
      <c r="E19" s="122">
        <v>0.2</v>
      </c>
      <c r="F19" s="122">
        <v>0.25</v>
      </c>
      <c r="G19" s="122">
        <v>0.3</v>
      </c>
    </row>
  </sheetData>
  <mergeCells count="4">
    <mergeCell ref="C12:D12"/>
    <mergeCell ref="E12:E13"/>
    <mergeCell ref="F12:F13"/>
    <mergeCell ref="G12:G13"/>
  </mergeCells>
  <dataValidations count="1">
    <dataValidation type="list" allowBlank="1" showInputMessage="1" showErrorMessage="1" sqref="G5" xr:uid="{4E1DF2A0-A912-4E90-898E-736BFDCD8024}">
      <formula1>"20%,25%,30%"</formula1>
    </dataValidation>
  </dataValidation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39B05-F1AB-4888-BC20-9FBC3C6ADD43}">
  <sheetPr codeName="Hoja3"/>
  <dimension ref="B2:F42"/>
  <sheetViews>
    <sheetView showGridLines="0" workbookViewId="0">
      <selection activeCell="F18" sqref="F18"/>
    </sheetView>
  </sheetViews>
  <sheetFormatPr baseColWidth="10" defaultRowHeight="15" x14ac:dyDescent="0.25"/>
  <cols>
    <col min="2" max="2" width="47.5703125" customWidth="1"/>
    <col min="3" max="3" width="35.5703125" customWidth="1"/>
    <col min="4" max="4" width="28.5703125" customWidth="1"/>
    <col min="5" max="5" width="24.42578125" customWidth="1"/>
  </cols>
  <sheetData>
    <row r="2" spans="2:3" ht="18.75" x14ac:dyDescent="0.3">
      <c r="B2" s="346" t="s">
        <v>26</v>
      </c>
      <c r="C2" s="346"/>
    </row>
    <row r="4" spans="2:3" ht="15.75" x14ac:dyDescent="0.25">
      <c r="B4" s="4" t="s">
        <v>27</v>
      </c>
    </row>
    <row r="5" spans="2:3" x14ac:dyDescent="0.25">
      <c r="B5" s="7" t="s">
        <v>28</v>
      </c>
      <c r="C5" s="7" t="s">
        <v>29</v>
      </c>
    </row>
    <row r="6" spans="2:3" x14ac:dyDescent="0.25">
      <c r="B6" s="2" t="s">
        <v>30</v>
      </c>
      <c r="C6" s="3">
        <v>12</v>
      </c>
    </row>
    <row r="7" spans="2:3" x14ac:dyDescent="0.25">
      <c r="B7" s="2" t="s">
        <v>31</v>
      </c>
      <c r="C7" s="3">
        <v>14</v>
      </c>
    </row>
    <row r="8" spans="2:3" x14ac:dyDescent="0.25">
      <c r="B8" s="2" t="s">
        <v>32</v>
      </c>
      <c r="C8" s="3">
        <v>16</v>
      </c>
    </row>
    <row r="9" spans="2:3" x14ac:dyDescent="0.25">
      <c r="B9" s="2" t="s">
        <v>33</v>
      </c>
      <c r="C9" s="3">
        <v>18</v>
      </c>
    </row>
    <row r="10" spans="2:3" x14ac:dyDescent="0.25">
      <c r="B10" s="2" t="s">
        <v>34</v>
      </c>
      <c r="C10" s="3">
        <v>20</v>
      </c>
    </row>
    <row r="11" spans="2:3" x14ac:dyDescent="0.25">
      <c r="B11" s="2" t="s">
        <v>35</v>
      </c>
      <c r="C11" s="3">
        <v>22</v>
      </c>
    </row>
    <row r="12" spans="2:3" x14ac:dyDescent="0.25">
      <c r="B12" s="2" t="s">
        <v>36</v>
      </c>
      <c r="C12" s="3">
        <v>24</v>
      </c>
    </row>
    <row r="13" spans="2:3" x14ac:dyDescent="0.25">
      <c r="B13" s="2" t="s">
        <v>37</v>
      </c>
      <c r="C13" s="3">
        <v>26</v>
      </c>
    </row>
    <row r="14" spans="2:3" x14ac:dyDescent="0.25">
      <c r="B14" s="2" t="s">
        <v>38</v>
      </c>
      <c r="C14" s="3">
        <v>28</v>
      </c>
    </row>
    <row r="15" spans="2:3" x14ac:dyDescent="0.25">
      <c r="B15" s="2" t="s">
        <v>39</v>
      </c>
      <c r="C15" s="3">
        <v>30</v>
      </c>
    </row>
    <row r="17" spans="2:6" ht="15.75" x14ac:dyDescent="0.25">
      <c r="B17" s="5" t="s">
        <v>40</v>
      </c>
    </row>
    <row r="18" spans="2:6" x14ac:dyDescent="0.25">
      <c r="B18" s="8" t="s">
        <v>41</v>
      </c>
      <c r="C18" s="8" t="s">
        <v>42</v>
      </c>
      <c r="D18" s="8" t="s">
        <v>43</v>
      </c>
      <c r="E18" s="8" t="s">
        <v>44</v>
      </c>
      <c r="F18" s="8">
        <v>2026</v>
      </c>
    </row>
    <row r="19" spans="2:6" x14ac:dyDescent="0.25">
      <c r="B19" s="2" t="s">
        <v>13</v>
      </c>
      <c r="C19" s="3" t="s">
        <v>45</v>
      </c>
      <c r="D19" s="3" t="s">
        <v>46</v>
      </c>
      <c r="E19" s="3" t="s">
        <v>47</v>
      </c>
      <c r="F19" s="3" t="s">
        <v>99</v>
      </c>
    </row>
    <row r="20" spans="2:6" x14ac:dyDescent="0.25">
      <c r="B20" s="2" t="s">
        <v>14</v>
      </c>
      <c r="C20" s="3" t="s">
        <v>48</v>
      </c>
      <c r="D20" s="3" t="s">
        <v>49</v>
      </c>
      <c r="E20" s="3" t="s">
        <v>47</v>
      </c>
      <c r="F20" s="3" t="s">
        <v>99</v>
      </c>
    </row>
    <row r="21" spans="2:6" x14ac:dyDescent="0.25">
      <c r="B21" s="2" t="s">
        <v>15</v>
      </c>
      <c r="C21" s="3" t="s">
        <v>50</v>
      </c>
      <c r="D21" s="3" t="s">
        <v>51</v>
      </c>
      <c r="E21" s="3" t="s">
        <v>47</v>
      </c>
      <c r="F21" s="3" t="s">
        <v>99</v>
      </c>
    </row>
    <row r="23" spans="2:6" ht="15.75" x14ac:dyDescent="0.25">
      <c r="B23" s="6" t="s">
        <v>52</v>
      </c>
    </row>
    <row r="24" spans="2:6" x14ac:dyDescent="0.25">
      <c r="B24" s="9" t="s">
        <v>53</v>
      </c>
      <c r="C24" s="9" t="s">
        <v>54</v>
      </c>
      <c r="D24" s="9" t="s">
        <v>55</v>
      </c>
      <c r="E24" s="9" t="s">
        <v>56</v>
      </c>
    </row>
    <row r="25" spans="2:6" x14ac:dyDescent="0.25">
      <c r="B25" s="2" t="s">
        <v>57</v>
      </c>
      <c r="C25" s="3" t="s">
        <v>58</v>
      </c>
      <c r="D25" s="3" t="s">
        <v>59</v>
      </c>
      <c r="E25" s="3" t="s">
        <v>60</v>
      </c>
    </row>
    <row r="26" spans="2:6" x14ac:dyDescent="0.25">
      <c r="B26" s="2" t="s">
        <v>61</v>
      </c>
      <c r="C26" s="3" t="s">
        <v>62</v>
      </c>
      <c r="D26" s="3" t="s">
        <v>63</v>
      </c>
      <c r="E26" s="3" t="s">
        <v>64</v>
      </c>
    </row>
    <row r="27" spans="2:6" x14ac:dyDescent="0.25">
      <c r="B27" s="2" t="s">
        <v>65</v>
      </c>
      <c r="C27" s="3" t="s">
        <v>66</v>
      </c>
      <c r="D27" s="3" t="s">
        <v>67</v>
      </c>
      <c r="E27" s="3" t="s">
        <v>60</v>
      </c>
    </row>
    <row r="28" spans="2:6" x14ac:dyDescent="0.25">
      <c r="B28" s="2" t="s">
        <v>68</v>
      </c>
      <c r="C28" s="3" t="s">
        <v>69</v>
      </c>
      <c r="D28" s="3" t="s">
        <v>67</v>
      </c>
      <c r="E28" s="3" t="s">
        <v>60</v>
      </c>
    </row>
    <row r="29" spans="2:6" x14ac:dyDescent="0.25">
      <c r="B29" s="2" t="s">
        <v>70</v>
      </c>
      <c r="C29" s="3" t="s">
        <v>71</v>
      </c>
      <c r="D29" s="3" t="s">
        <v>67</v>
      </c>
      <c r="E29" s="3" t="s">
        <v>64</v>
      </c>
    </row>
    <row r="31" spans="2:6" ht="15.75" x14ac:dyDescent="0.25">
      <c r="B31" s="350" t="s">
        <v>72</v>
      </c>
      <c r="C31" s="350"/>
    </row>
    <row r="32" spans="2:6" ht="45" customHeight="1" x14ac:dyDescent="0.25">
      <c r="B32" s="266" t="s">
        <v>73</v>
      </c>
      <c r="C32" s="266"/>
    </row>
    <row r="34" spans="2:3" x14ac:dyDescent="0.25">
      <c r="B34" s="349" t="s">
        <v>74</v>
      </c>
      <c r="C34" s="349"/>
    </row>
    <row r="36" spans="2:3" ht="15.75" x14ac:dyDescent="0.25">
      <c r="B36" s="348" t="s">
        <v>75</v>
      </c>
      <c r="C36" s="348"/>
    </row>
    <row r="37" spans="2:3" ht="42" customHeight="1" x14ac:dyDescent="0.25">
      <c r="B37" s="347" t="s">
        <v>82</v>
      </c>
      <c r="C37" s="347"/>
    </row>
    <row r="38" spans="2:3" ht="27" customHeight="1" x14ac:dyDescent="0.25">
      <c r="B38" s="347" t="s">
        <v>83</v>
      </c>
      <c r="C38" s="347"/>
    </row>
    <row r="39" spans="2:3" ht="24" customHeight="1" x14ac:dyDescent="0.25">
      <c r="B39" s="347" t="s">
        <v>84</v>
      </c>
      <c r="C39" s="347"/>
    </row>
    <row r="40" spans="2:3" ht="25.5" customHeight="1" x14ac:dyDescent="0.25">
      <c r="B40" s="347" t="s">
        <v>85</v>
      </c>
      <c r="C40" s="347"/>
    </row>
    <row r="41" spans="2:3" ht="22.5" customHeight="1" x14ac:dyDescent="0.25">
      <c r="B41" s="347" t="s">
        <v>86</v>
      </c>
      <c r="C41" s="347"/>
    </row>
    <row r="42" spans="2:3" ht="23.25" customHeight="1" x14ac:dyDescent="0.25">
      <c r="B42" s="347" t="s">
        <v>87</v>
      </c>
      <c r="C42" s="347"/>
    </row>
  </sheetData>
  <mergeCells count="11">
    <mergeCell ref="B41:C41"/>
    <mergeCell ref="B42:C42"/>
    <mergeCell ref="B34:C34"/>
    <mergeCell ref="B32:C32"/>
    <mergeCell ref="B31:C31"/>
    <mergeCell ref="B40:C40"/>
    <mergeCell ref="B2:C2"/>
    <mergeCell ref="B37:C37"/>
    <mergeCell ref="B36:C36"/>
    <mergeCell ref="B38:C38"/>
    <mergeCell ref="B39:C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F5624-F212-403B-A705-694DA68D2F25}">
  <dimension ref="B4:J53"/>
  <sheetViews>
    <sheetView showGridLines="0" workbookViewId="0">
      <selection activeCell="B39" sqref="B39:D53"/>
    </sheetView>
  </sheetViews>
  <sheetFormatPr baseColWidth="10" defaultRowHeight="15" x14ac:dyDescent="0.25"/>
  <cols>
    <col min="2" max="2" width="14.5703125" customWidth="1"/>
    <col min="3" max="3" width="14.85546875" customWidth="1"/>
    <col min="4" max="4" width="13.5703125" customWidth="1"/>
    <col min="5" max="5" width="13.42578125" customWidth="1"/>
    <col min="10" max="10" width="14.85546875" customWidth="1"/>
  </cols>
  <sheetData>
    <row r="4" spans="2:5" ht="56.25" customHeight="1" thickBot="1" x14ac:dyDescent="0.3">
      <c r="B4" s="351" t="s">
        <v>242</v>
      </c>
      <c r="C4" s="351"/>
      <c r="D4" s="351"/>
      <c r="E4" s="351"/>
    </row>
    <row r="5" spans="2:5" ht="64.5" thickTop="1" x14ac:dyDescent="0.25">
      <c r="B5" s="131" t="s">
        <v>186</v>
      </c>
      <c r="C5" s="131" t="s">
        <v>187</v>
      </c>
      <c r="D5" s="131" t="s">
        <v>188</v>
      </c>
      <c r="E5" s="131" t="s">
        <v>189</v>
      </c>
    </row>
    <row r="6" spans="2:5" ht="15.75" thickBot="1" x14ac:dyDescent="0.3">
      <c r="B6" s="132" t="s">
        <v>190</v>
      </c>
      <c r="C6" s="132" t="s">
        <v>190</v>
      </c>
      <c r="D6" s="132" t="s">
        <v>190</v>
      </c>
      <c r="E6" s="132" t="s">
        <v>191</v>
      </c>
    </row>
    <row r="7" spans="2:5" ht="15.75" thickTop="1" x14ac:dyDescent="0.25">
      <c r="B7" s="133">
        <v>0.01</v>
      </c>
      <c r="C7" s="133">
        <v>844.59</v>
      </c>
      <c r="D7" s="133">
        <v>0</v>
      </c>
      <c r="E7" s="134">
        <v>1.92</v>
      </c>
    </row>
    <row r="8" spans="2:5" x14ac:dyDescent="0.25">
      <c r="B8" s="133">
        <v>844.6</v>
      </c>
      <c r="C8" s="135">
        <v>7168.51</v>
      </c>
      <c r="D8" s="133">
        <v>16.22</v>
      </c>
      <c r="E8" s="134">
        <v>6.4</v>
      </c>
    </row>
    <row r="9" spans="2:5" x14ac:dyDescent="0.25">
      <c r="B9" s="135">
        <v>7168.52</v>
      </c>
      <c r="C9" s="135">
        <v>12598.02</v>
      </c>
      <c r="D9" s="133">
        <v>420.95</v>
      </c>
      <c r="E9" s="134">
        <v>10.88</v>
      </c>
    </row>
    <row r="10" spans="2:5" x14ac:dyDescent="0.25">
      <c r="B10" s="135">
        <v>12598.03</v>
      </c>
      <c r="C10" s="135">
        <v>14644.64</v>
      </c>
      <c r="D10" s="135">
        <v>1011.68</v>
      </c>
      <c r="E10" s="134">
        <v>16</v>
      </c>
    </row>
    <row r="11" spans="2:5" x14ac:dyDescent="0.25">
      <c r="B11" s="135">
        <v>14644.65</v>
      </c>
      <c r="C11" s="135">
        <v>17533.64</v>
      </c>
      <c r="D11" s="135">
        <v>1339.14</v>
      </c>
      <c r="E11" s="134">
        <v>17.920000000000002</v>
      </c>
    </row>
    <row r="12" spans="2:5" x14ac:dyDescent="0.25">
      <c r="B12" s="135">
        <v>17533.650000000001</v>
      </c>
      <c r="C12" s="135">
        <v>35362.83</v>
      </c>
      <c r="D12" s="135">
        <v>1856.84</v>
      </c>
      <c r="E12" s="134">
        <v>21.36</v>
      </c>
    </row>
    <row r="13" spans="2:5" x14ac:dyDescent="0.25">
      <c r="B13" s="135">
        <v>35362.839999999997</v>
      </c>
      <c r="C13" s="135">
        <v>55736.68</v>
      </c>
      <c r="D13" s="135">
        <v>5665.16</v>
      </c>
      <c r="E13" s="134">
        <v>23.52</v>
      </c>
    </row>
    <row r="14" spans="2:5" x14ac:dyDescent="0.25">
      <c r="B14" s="135">
        <v>55736.69</v>
      </c>
      <c r="C14" s="135">
        <v>106410.5</v>
      </c>
      <c r="D14" s="135">
        <v>10457.09</v>
      </c>
      <c r="E14" s="134">
        <v>30</v>
      </c>
    </row>
    <row r="15" spans="2:5" x14ac:dyDescent="0.25">
      <c r="B15" s="135">
        <v>106410.51</v>
      </c>
      <c r="C15" s="135">
        <v>141880.66</v>
      </c>
      <c r="D15" s="135">
        <v>25659.23</v>
      </c>
      <c r="E15" s="134">
        <v>32</v>
      </c>
    </row>
    <row r="16" spans="2:5" x14ac:dyDescent="0.25">
      <c r="B16" s="135">
        <v>141880.67000000001</v>
      </c>
      <c r="C16" s="135">
        <v>425641.99</v>
      </c>
      <c r="D16" s="135">
        <v>37009.69</v>
      </c>
      <c r="E16" s="134">
        <v>34</v>
      </c>
    </row>
    <row r="17" spans="2:10" ht="15.75" thickBot="1" x14ac:dyDescent="0.3">
      <c r="B17" s="136">
        <v>425642</v>
      </c>
      <c r="C17" s="137" t="s">
        <v>192</v>
      </c>
      <c r="D17" s="136">
        <v>133488.54</v>
      </c>
      <c r="E17" s="132">
        <v>35</v>
      </c>
    </row>
    <row r="18" spans="2:10" ht="15.75" thickTop="1" x14ac:dyDescent="0.25"/>
    <row r="20" spans="2:10" x14ac:dyDescent="0.25">
      <c r="G20" t="s">
        <v>416</v>
      </c>
      <c r="I20" s="129">
        <f>DEDUCCION!C22</f>
        <v>0</v>
      </c>
    </row>
    <row r="21" spans="2:10" ht="69" customHeight="1" thickBot="1" x14ac:dyDescent="0.3">
      <c r="B21" s="351" t="s">
        <v>415</v>
      </c>
      <c r="C21" s="351"/>
      <c r="D21" s="351"/>
      <c r="E21" s="351"/>
      <c r="F21" s="130"/>
      <c r="G21" s="130"/>
      <c r="H21" s="130"/>
      <c r="I21" s="130"/>
      <c r="J21" s="130"/>
    </row>
    <row r="22" spans="2:10" ht="64.5" thickTop="1" x14ac:dyDescent="0.25">
      <c r="B22" s="131" t="s">
        <v>186</v>
      </c>
      <c r="C22" s="131" t="s">
        <v>187</v>
      </c>
      <c r="D22" s="131" t="s">
        <v>188</v>
      </c>
      <c r="E22" s="131" t="s">
        <v>189</v>
      </c>
      <c r="F22" s="130"/>
      <c r="G22" s="131" t="s">
        <v>186</v>
      </c>
      <c r="H22" s="131" t="s">
        <v>187</v>
      </c>
      <c r="I22" s="131" t="s">
        <v>188</v>
      </c>
      <c r="J22" s="131" t="s">
        <v>189</v>
      </c>
    </row>
    <row r="23" spans="2:10" ht="15.75" thickBot="1" x14ac:dyDescent="0.3">
      <c r="B23" s="132" t="s">
        <v>190</v>
      </c>
      <c r="C23" s="132" t="s">
        <v>190</v>
      </c>
      <c r="D23" s="132" t="s">
        <v>190</v>
      </c>
      <c r="E23" s="132" t="s">
        <v>191</v>
      </c>
      <c r="F23" s="130"/>
      <c r="G23" s="132" t="s">
        <v>190</v>
      </c>
      <c r="H23" s="132" t="s">
        <v>190</v>
      </c>
      <c r="I23" s="132" t="s">
        <v>190</v>
      </c>
      <c r="J23" s="132" t="s">
        <v>191</v>
      </c>
    </row>
    <row r="24" spans="2:10" ht="15.75" thickTop="1" x14ac:dyDescent="0.25">
      <c r="B24" s="133">
        <v>0.01</v>
      </c>
      <c r="C24" s="133">
        <v>27.78</v>
      </c>
      <c r="D24" s="133">
        <v>0</v>
      </c>
      <c r="E24" s="134">
        <v>1.92</v>
      </c>
      <c r="F24" s="130"/>
      <c r="G24" s="135">
        <v>0.01</v>
      </c>
      <c r="H24" s="135">
        <f>IFERROR(IF(AND($I$20&lt;&gt;"",$I$20&lt;30),ROUND(C24*$I$20,2),C24),C24)</f>
        <v>0</v>
      </c>
      <c r="I24" s="135">
        <f>IFERROR(IF(AND(J20&lt;&gt;"",J20&lt;30),ROUND(D24*$I$20,2),D24),D24)</f>
        <v>0</v>
      </c>
      <c r="J24" s="138">
        <v>1.92</v>
      </c>
    </row>
    <row r="25" spans="2:10" x14ac:dyDescent="0.25">
      <c r="B25" s="133">
        <v>27.79</v>
      </c>
      <c r="C25" s="133">
        <v>235.81</v>
      </c>
      <c r="D25" s="133">
        <v>0.53</v>
      </c>
      <c r="E25" s="134">
        <v>6.4</v>
      </c>
      <c r="F25" s="130"/>
      <c r="G25" s="135">
        <f>H24+0.01</f>
        <v>0.01</v>
      </c>
      <c r="H25" s="135">
        <f t="shared" ref="H25:H34" si="0">IFERROR(IF(AND($I$20&lt;&gt;"",$I$20&lt;30),ROUND(C25*$I$20,2),C25),C25)</f>
        <v>0</v>
      </c>
      <c r="I25" s="135">
        <f t="shared" ref="I25" si="1">IFERROR(IF(AND(J21&lt;&gt;"",J21&lt;30),ROUND(D25*$I$20,2),D25),D25)</f>
        <v>0.53</v>
      </c>
      <c r="J25" s="138">
        <v>6.4</v>
      </c>
    </row>
    <row r="26" spans="2:10" x14ac:dyDescent="0.25">
      <c r="B26" s="133">
        <v>235.82</v>
      </c>
      <c r="C26" s="133">
        <v>414.41</v>
      </c>
      <c r="D26" s="133">
        <v>13.85</v>
      </c>
      <c r="E26" s="134">
        <v>10.88</v>
      </c>
      <c r="F26" s="130"/>
      <c r="G26" s="135">
        <f t="shared" ref="G26:G34" si="2">H25+0.01</f>
        <v>0.01</v>
      </c>
      <c r="H26" s="135">
        <f t="shared" si="0"/>
        <v>0</v>
      </c>
      <c r="I26" s="135">
        <f t="shared" ref="I26" si="3">IFERROR(IF(AND(J22&lt;&gt;"",J22&lt;30),ROUND(D26*$I$20,2),D26),D26)</f>
        <v>13.85</v>
      </c>
      <c r="J26" s="138">
        <v>10.88</v>
      </c>
    </row>
    <row r="27" spans="2:10" x14ac:dyDescent="0.25">
      <c r="B27" s="133">
        <v>414.42</v>
      </c>
      <c r="C27" s="133">
        <v>481.73</v>
      </c>
      <c r="D27" s="133">
        <v>33.28</v>
      </c>
      <c r="E27" s="134">
        <v>16</v>
      </c>
      <c r="F27" s="130"/>
      <c r="G27" s="135">
        <f t="shared" si="2"/>
        <v>0.01</v>
      </c>
      <c r="H27" s="135">
        <f t="shared" si="0"/>
        <v>0</v>
      </c>
      <c r="I27" s="135">
        <f t="shared" ref="I27" si="4">IFERROR(IF(AND(J23&lt;&gt;"",J23&lt;30),ROUND(D27*$I$20,2),D27),D27)</f>
        <v>33.28</v>
      </c>
      <c r="J27" s="138">
        <v>16</v>
      </c>
    </row>
    <row r="28" spans="2:10" x14ac:dyDescent="0.25">
      <c r="B28" s="133">
        <v>481.74</v>
      </c>
      <c r="C28" s="133">
        <v>576.76</v>
      </c>
      <c r="D28" s="133">
        <v>44.05</v>
      </c>
      <c r="E28" s="134">
        <v>17.920000000000002</v>
      </c>
      <c r="F28" s="130"/>
      <c r="G28" s="135">
        <f t="shared" si="2"/>
        <v>0.01</v>
      </c>
      <c r="H28" s="135">
        <f t="shared" si="0"/>
        <v>0</v>
      </c>
      <c r="I28" s="135">
        <f t="shared" ref="I28" si="5">IFERROR(IF(AND(J24&lt;&gt;"",J24&lt;30),ROUND(D28*$I$20,2),D28),D28)</f>
        <v>0</v>
      </c>
      <c r="J28" s="138">
        <v>17.920000000000002</v>
      </c>
    </row>
    <row r="29" spans="2:10" x14ac:dyDescent="0.25">
      <c r="B29" s="133">
        <v>576.77</v>
      </c>
      <c r="C29" s="135">
        <v>1163.25</v>
      </c>
      <c r="D29" s="133">
        <v>61.08</v>
      </c>
      <c r="E29" s="134">
        <v>21.36</v>
      </c>
      <c r="F29" s="130"/>
      <c r="G29" s="135">
        <f t="shared" si="2"/>
        <v>0.01</v>
      </c>
      <c r="H29" s="135">
        <f t="shared" si="0"/>
        <v>0</v>
      </c>
      <c r="I29" s="135">
        <f t="shared" ref="I29" si="6">IFERROR(IF(AND(J25&lt;&gt;"",J25&lt;30),ROUND(D29*$I$20,2),D29),D29)</f>
        <v>0</v>
      </c>
      <c r="J29" s="138">
        <v>21.36</v>
      </c>
    </row>
    <row r="30" spans="2:10" x14ac:dyDescent="0.25">
      <c r="B30" s="135">
        <v>1163.26</v>
      </c>
      <c r="C30" s="135">
        <v>1833.44</v>
      </c>
      <c r="D30" s="133">
        <v>186.35</v>
      </c>
      <c r="E30" s="134">
        <v>23.52</v>
      </c>
      <c r="F30" s="130"/>
      <c r="G30" s="135">
        <f t="shared" si="2"/>
        <v>0.01</v>
      </c>
      <c r="H30" s="135">
        <f t="shared" si="0"/>
        <v>0</v>
      </c>
      <c r="I30" s="135">
        <f t="shared" ref="I30" si="7">IFERROR(IF(AND(J26&lt;&gt;"",J26&lt;30),ROUND(D30*$I$20,2),D30),D30)</f>
        <v>0</v>
      </c>
      <c r="J30" s="138">
        <v>23.52</v>
      </c>
    </row>
    <row r="31" spans="2:10" x14ac:dyDescent="0.25">
      <c r="B31" s="135">
        <v>1833.45</v>
      </c>
      <c r="C31" s="135">
        <v>3500.35</v>
      </c>
      <c r="D31" s="133">
        <v>343.98</v>
      </c>
      <c r="E31" s="134">
        <v>30</v>
      </c>
      <c r="F31" s="130"/>
      <c r="G31" s="135">
        <f t="shared" si="2"/>
        <v>0.01</v>
      </c>
      <c r="H31" s="135">
        <f t="shared" si="0"/>
        <v>0</v>
      </c>
      <c r="I31" s="135">
        <f t="shared" ref="I31" si="8">IFERROR(IF(AND(J27&lt;&gt;"",J27&lt;30),ROUND(D31*$I$20,2),D31),D31)</f>
        <v>0</v>
      </c>
      <c r="J31" s="138">
        <v>30</v>
      </c>
    </row>
    <row r="32" spans="2:10" x14ac:dyDescent="0.25">
      <c r="B32" s="135">
        <v>3500.36</v>
      </c>
      <c r="C32" s="135">
        <v>4667.13</v>
      </c>
      <c r="D32" s="133">
        <v>844.05</v>
      </c>
      <c r="E32" s="134">
        <v>32</v>
      </c>
      <c r="F32" s="130"/>
      <c r="G32" s="135">
        <f t="shared" si="2"/>
        <v>0.01</v>
      </c>
      <c r="H32" s="135">
        <f t="shared" si="0"/>
        <v>0</v>
      </c>
      <c r="I32" s="135">
        <f t="shared" ref="I32" si="9">IFERROR(IF(AND(J28&lt;&gt;"",J28&lt;30),ROUND(D32*$I$20,2),D32),D32)</f>
        <v>0</v>
      </c>
      <c r="J32" s="138">
        <v>32</v>
      </c>
    </row>
    <row r="33" spans="2:10" x14ac:dyDescent="0.25">
      <c r="B33" s="135">
        <v>4667.1400000000003</v>
      </c>
      <c r="C33" s="135">
        <v>14001.38</v>
      </c>
      <c r="D33" s="135">
        <v>1217.42</v>
      </c>
      <c r="E33" s="134">
        <v>34</v>
      </c>
      <c r="F33" s="130"/>
      <c r="G33" s="135">
        <f t="shared" si="2"/>
        <v>0.01</v>
      </c>
      <c r="H33" s="135">
        <f t="shared" si="0"/>
        <v>0</v>
      </c>
      <c r="I33" s="135">
        <f t="shared" ref="I33" si="10">IFERROR(IF(AND(J29&lt;&gt;"",J29&lt;30),ROUND(D33*$I$20,2),D33),D33)</f>
        <v>0</v>
      </c>
      <c r="J33" s="138">
        <v>34</v>
      </c>
    </row>
    <row r="34" spans="2:10" ht="15.75" thickBot="1" x14ac:dyDescent="0.3">
      <c r="B34" s="136">
        <v>14001.39</v>
      </c>
      <c r="C34" s="137" t="s">
        <v>192</v>
      </c>
      <c r="D34" s="136">
        <v>4391.07</v>
      </c>
      <c r="E34" s="132">
        <v>35</v>
      </c>
      <c r="F34" s="130"/>
      <c r="G34" s="136">
        <f t="shared" si="2"/>
        <v>0.01</v>
      </c>
      <c r="H34" s="136" t="str">
        <f t="shared" si="0"/>
        <v>En adelante</v>
      </c>
      <c r="I34" s="136">
        <f t="shared" ref="I34" si="11">IFERROR(IF(AND(J30&lt;&gt;"",J30&lt;30),ROUND(D34*$I$20,2),D34),D34)</f>
        <v>0</v>
      </c>
      <c r="J34" s="139">
        <v>35</v>
      </c>
    </row>
    <row r="35" spans="2:10" ht="15.75" thickTop="1" x14ac:dyDescent="0.25"/>
    <row r="37" spans="2:10" x14ac:dyDescent="0.25">
      <c r="B37" t="s">
        <v>656</v>
      </c>
    </row>
    <row r="38" spans="2:10" x14ac:dyDescent="0.25">
      <c r="B38" s="221" t="s">
        <v>657</v>
      </c>
      <c r="C38" s="221" t="s">
        <v>658</v>
      </c>
      <c r="D38" s="221" t="s">
        <v>482</v>
      </c>
    </row>
    <row r="39" spans="2:10" x14ac:dyDescent="0.25">
      <c r="B39" s="2">
        <v>0</v>
      </c>
      <c r="C39" s="2">
        <v>1</v>
      </c>
      <c r="D39" s="2">
        <v>12</v>
      </c>
    </row>
    <row r="40" spans="2:10" x14ac:dyDescent="0.25">
      <c r="B40" s="2">
        <f>C39+0.01</f>
        <v>1.01</v>
      </c>
      <c r="C40" s="2">
        <f>C39+1</f>
        <v>2</v>
      </c>
      <c r="D40" s="2">
        <f>D39+2</f>
        <v>14</v>
      </c>
    </row>
    <row r="41" spans="2:10" x14ac:dyDescent="0.25">
      <c r="B41" s="2">
        <f t="shared" ref="B41:B53" si="12">C40+0.01</f>
        <v>2.0099999999999998</v>
      </c>
      <c r="C41" s="2">
        <f t="shared" ref="C41:C43" si="13">C40+1</f>
        <v>3</v>
      </c>
      <c r="D41" s="2">
        <f t="shared" ref="D41:D53" si="14">D40+2</f>
        <v>16</v>
      </c>
    </row>
    <row r="42" spans="2:10" x14ac:dyDescent="0.25">
      <c r="B42" s="2">
        <f t="shared" si="12"/>
        <v>3.01</v>
      </c>
      <c r="C42" s="2">
        <f t="shared" si="13"/>
        <v>4</v>
      </c>
      <c r="D42" s="2">
        <f t="shared" si="14"/>
        <v>18</v>
      </c>
    </row>
    <row r="43" spans="2:10" x14ac:dyDescent="0.25">
      <c r="B43" s="2">
        <f t="shared" si="12"/>
        <v>4.01</v>
      </c>
      <c r="C43" s="2">
        <f t="shared" si="13"/>
        <v>5</v>
      </c>
      <c r="D43" s="2">
        <f t="shared" si="14"/>
        <v>20</v>
      </c>
    </row>
    <row r="44" spans="2:10" x14ac:dyDescent="0.25">
      <c r="B44" s="2">
        <f t="shared" si="12"/>
        <v>5.01</v>
      </c>
      <c r="C44" s="2">
        <f>C43+5</f>
        <v>10</v>
      </c>
      <c r="D44" s="2">
        <f t="shared" si="14"/>
        <v>22</v>
      </c>
    </row>
    <row r="45" spans="2:10" x14ac:dyDescent="0.25">
      <c r="B45" s="2">
        <f t="shared" si="12"/>
        <v>10.01</v>
      </c>
      <c r="C45" s="2">
        <f t="shared" ref="C45:C53" si="15">C44+5</f>
        <v>15</v>
      </c>
      <c r="D45" s="2">
        <f t="shared" si="14"/>
        <v>24</v>
      </c>
    </row>
    <row r="46" spans="2:10" x14ac:dyDescent="0.25">
      <c r="B46" s="2">
        <f t="shared" si="12"/>
        <v>15.01</v>
      </c>
      <c r="C46" s="2">
        <f t="shared" si="15"/>
        <v>20</v>
      </c>
      <c r="D46" s="2">
        <f t="shared" si="14"/>
        <v>26</v>
      </c>
    </row>
    <row r="47" spans="2:10" x14ac:dyDescent="0.25">
      <c r="B47" s="2">
        <f t="shared" si="12"/>
        <v>20.010000000000002</v>
      </c>
      <c r="C47" s="2">
        <f t="shared" si="15"/>
        <v>25</v>
      </c>
      <c r="D47" s="2">
        <f t="shared" si="14"/>
        <v>28</v>
      </c>
    </row>
    <row r="48" spans="2:10" x14ac:dyDescent="0.25">
      <c r="B48" s="2">
        <f t="shared" si="12"/>
        <v>25.01</v>
      </c>
      <c r="C48" s="2">
        <f t="shared" si="15"/>
        <v>30</v>
      </c>
      <c r="D48" s="2">
        <f t="shared" si="14"/>
        <v>30</v>
      </c>
    </row>
    <row r="49" spans="2:4" x14ac:dyDescent="0.25">
      <c r="B49" s="2">
        <f t="shared" si="12"/>
        <v>30.01</v>
      </c>
      <c r="C49" s="2">
        <f t="shared" si="15"/>
        <v>35</v>
      </c>
      <c r="D49" s="2">
        <f t="shared" si="14"/>
        <v>32</v>
      </c>
    </row>
    <row r="50" spans="2:4" x14ac:dyDescent="0.25">
      <c r="B50" s="2">
        <f t="shared" si="12"/>
        <v>35.01</v>
      </c>
      <c r="C50" s="2">
        <f t="shared" si="15"/>
        <v>40</v>
      </c>
      <c r="D50" s="2">
        <f t="shared" si="14"/>
        <v>34</v>
      </c>
    </row>
    <row r="51" spans="2:4" x14ac:dyDescent="0.25">
      <c r="B51" s="2">
        <f t="shared" si="12"/>
        <v>40.01</v>
      </c>
      <c r="C51" s="2">
        <f t="shared" si="15"/>
        <v>45</v>
      </c>
      <c r="D51" s="2">
        <f t="shared" si="14"/>
        <v>36</v>
      </c>
    </row>
    <row r="52" spans="2:4" x14ac:dyDescent="0.25">
      <c r="B52" s="2">
        <f t="shared" si="12"/>
        <v>45.01</v>
      </c>
      <c r="C52" s="2">
        <f t="shared" si="15"/>
        <v>50</v>
      </c>
      <c r="D52" s="2">
        <f t="shared" si="14"/>
        <v>38</v>
      </c>
    </row>
    <row r="53" spans="2:4" x14ac:dyDescent="0.25">
      <c r="B53" s="2">
        <f t="shared" si="12"/>
        <v>50.01</v>
      </c>
      <c r="C53" s="2">
        <f t="shared" si="15"/>
        <v>55</v>
      </c>
      <c r="D53" s="2">
        <f t="shared" si="14"/>
        <v>40</v>
      </c>
    </row>
  </sheetData>
  <sheetProtection algorithmName="SHA-512" hashValue="JOo9Kx21SPt+XGQUoSJrewdTRbej3vWsuo0KoTgyIV6LvE9R9kbUWm2njcpeJ+08fvLl+9gxPJiqT380KZxORQ==" saltValue="wUMcsbMvJaswuCqJfR+zUQ==" spinCount="100000" sheet="1" objects="1" scenarios="1"/>
  <mergeCells count="2">
    <mergeCell ref="B4:E4"/>
    <mergeCell ref="B21: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02B44-6846-4548-8F6F-37C1424E9DFB}">
  <sheetPr codeName="Hoja13"/>
  <dimension ref="A4:J174"/>
  <sheetViews>
    <sheetView showGridLines="0" zoomScale="110" zoomScaleNormal="110" workbookViewId="0">
      <selection activeCell="E3" sqref="E3"/>
    </sheetView>
  </sheetViews>
  <sheetFormatPr baseColWidth="10" defaultRowHeight="15" outlineLevelRow="1" x14ac:dyDescent="0.25"/>
  <cols>
    <col min="1" max="1" width="5.140625" customWidth="1"/>
    <col min="3" max="3" width="58" customWidth="1"/>
    <col min="4" max="4" width="17" customWidth="1"/>
    <col min="5" max="5" width="34.28515625" customWidth="1"/>
    <col min="6" max="6" width="5.7109375" customWidth="1"/>
    <col min="8" max="8" width="69.85546875" customWidth="1"/>
  </cols>
  <sheetData>
    <row r="4" spans="2:8" x14ac:dyDescent="0.25">
      <c r="B4" s="252" t="s">
        <v>243</v>
      </c>
      <c r="C4" s="252"/>
      <c r="D4" s="252"/>
      <c r="E4" s="252"/>
      <c r="F4" s="252"/>
      <c r="G4" s="252"/>
      <c r="H4" s="252"/>
    </row>
    <row r="5" spans="2:8" x14ac:dyDescent="0.25">
      <c r="B5" s="252" t="s">
        <v>244</v>
      </c>
      <c r="C5" s="252"/>
      <c r="D5" s="252"/>
      <c r="E5" s="252"/>
      <c r="F5" s="252"/>
      <c r="G5" s="252"/>
      <c r="H5" s="252"/>
    </row>
    <row r="6" spans="2:8" x14ac:dyDescent="0.25">
      <c r="B6" s="252" t="s">
        <v>245</v>
      </c>
      <c r="C6" s="252"/>
      <c r="D6" s="252"/>
      <c r="E6" s="252"/>
      <c r="F6" s="252"/>
      <c r="G6" s="252"/>
      <c r="H6" s="252"/>
    </row>
    <row r="7" spans="2:8" ht="31.5" customHeight="1" x14ac:dyDescent="0.25">
      <c r="B7" s="253" t="s">
        <v>246</v>
      </c>
      <c r="C7" s="253"/>
      <c r="D7" s="253"/>
      <c r="E7" s="253"/>
      <c r="F7" s="253"/>
      <c r="G7" s="253"/>
      <c r="H7" s="253"/>
    </row>
    <row r="8" spans="2:8" x14ac:dyDescent="0.25">
      <c r="B8" s="252" t="s">
        <v>247</v>
      </c>
      <c r="C8" s="252"/>
      <c r="D8" s="252"/>
      <c r="E8" s="252"/>
      <c r="F8" s="252"/>
      <c r="G8" s="252"/>
      <c r="H8" s="252"/>
    </row>
    <row r="9" spans="2:8" x14ac:dyDescent="0.25">
      <c r="B9" s="38"/>
    </row>
    <row r="10" spans="2:8" x14ac:dyDescent="0.25">
      <c r="B10" s="90"/>
      <c r="C10" s="91"/>
      <c r="D10" s="91"/>
      <c r="E10" s="91"/>
      <c r="F10" s="91"/>
      <c r="G10" s="91"/>
      <c r="H10" s="91"/>
    </row>
    <row r="13" spans="2:8" x14ac:dyDescent="0.25">
      <c r="B13" s="92" t="s">
        <v>243</v>
      </c>
      <c r="E13" s="93" t="s">
        <v>248</v>
      </c>
    </row>
    <row r="14" spans="2:8" ht="55.5" hidden="1" customHeight="1" outlineLevel="1" x14ac:dyDescent="0.25">
      <c r="B14" s="254" t="s">
        <v>249</v>
      </c>
      <c r="C14" s="255"/>
      <c r="D14" s="255"/>
      <c r="E14" s="255"/>
      <c r="G14" s="256" t="e" vm="1">
        <v>#VALUE!</v>
      </c>
      <c r="H14" s="256"/>
    </row>
    <row r="15" spans="2:8" ht="120.75" hidden="1" customHeight="1" outlineLevel="1" x14ac:dyDescent="0.25">
      <c r="B15" s="257" t="s">
        <v>250</v>
      </c>
      <c r="C15" s="258"/>
      <c r="D15" s="258"/>
      <c r="E15" s="258"/>
      <c r="G15" s="256"/>
      <c r="H15" s="256"/>
    </row>
    <row r="16" spans="2:8" hidden="1" outlineLevel="1" x14ac:dyDescent="0.25">
      <c r="B16" s="259" t="s">
        <v>251</v>
      </c>
      <c r="C16" s="259"/>
      <c r="D16" s="259"/>
      <c r="E16" s="259"/>
      <c r="G16" s="256"/>
      <c r="H16" s="256"/>
    </row>
    <row r="17" spans="2:8" hidden="1" outlineLevel="1" x14ac:dyDescent="0.25">
      <c r="B17" s="259"/>
      <c r="C17" s="259"/>
      <c r="D17" s="259"/>
      <c r="E17" s="259"/>
      <c r="G17" s="256"/>
      <c r="H17" s="256"/>
    </row>
    <row r="18" spans="2:8" hidden="1" outlineLevel="1" x14ac:dyDescent="0.25">
      <c r="B18" s="259"/>
      <c r="C18" s="259"/>
      <c r="D18" s="259"/>
      <c r="E18" s="259"/>
      <c r="G18" s="256"/>
      <c r="H18" s="256"/>
    </row>
    <row r="19" spans="2:8" hidden="1" outlineLevel="1" x14ac:dyDescent="0.25"/>
    <row r="20" spans="2:8" collapsed="1" x14ac:dyDescent="0.25">
      <c r="B20" s="246" t="s">
        <v>252</v>
      </c>
      <c r="C20" s="246"/>
      <c r="D20" s="246"/>
      <c r="E20" s="246"/>
      <c r="G20" s="237" t="s">
        <v>253</v>
      </c>
      <c r="H20" s="239"/>
    </row>
    <row r="21" spans="2:8" ht="30" x14ac:dyDescent="0.25">
      <c r="B21" s="94" t="s">
        <v>254</v>
      </c>
      <c r="C21" s="94" t="s">
        <v>101</v>
      </c>
      <c r="D21" s="94" t="s">
        <v>255</v>
      </c>
      <c r="E21" s="94" t="s">
        <v>256</v>
      </c>
      <c r="G21" s="94" t="s">
        <v>257</v>
      </c>
      <c r="H21" s="94" t="s">
        <v>101</v>
      </c>
    </row>
    <row r="22" spans="2:8" x14ac:dyDescent="0.25">
      <c r="B22" s="95">
        <v>1</v>
      </c>
      <c r="C22" s="96" t="s">
        <v>102</v>
      </c>
      <c r="D22" s="97" t="s">
        <v>208</v>
      </c>
      <c r="E22" s="2"/>
      <c r="G22" s="95">
        <v>2</v>
      </c>
      <c r="H22" s="29" t="s">
        <v>258</v>
      </c>
    </row>
    <row r="23" spans="2:8" ht="98.25" hidden="1" customHeight="1" outlineLevel="1" x14ac:dyDescent="0.25">
      <c r="B23" s="249" t="s">
        <v>259</v>
      </c>
      <c r="C23" s="250"/>
      <c r="D23" s="250"/>
      <c r="E23" s="251"/>
      <c r="G23" s="95"/>
      <c r="H23" s="29"/>
    </row>
    <row r="24" spans="2:8" ht="30" collapsed="1" x14ac:dyDescent="0.25">
      <c r="B24" s="28">
        <v>2</v>
      </c>
      <c r="C24" s="29" t="s">
        <v>103</v>
      </c>
      <c r="D24" s="97" t="s">
        <v>260</v>
      </c>
      <c r="E24" s="98" t="s">
        <v>261</v>
      </c>
      <c r="G24" s="95">
        <v>6</v>
      </c>
      <c r="H24" s="29" t="s">
        <v>262</v>
      </c>
    </row>
    <row r="25" spans="2:8" ht="30" x14ac:dyDescent="0.25">
      <c r="B25" s="28">
        <v>3</v>
      </c>
      <c r="C25" s="29" t="s">
        <v>104</v>
      </c>
      <c r="D25" s="97" t="s">
        <v>260</v>
      </c>
      <c r="E25" s="98" t="s">
        <v>263</v>
      </c>
      <c r="G25" s="95">
        <v>12</v>
      </c>
      <c r="H25" s="29" t="s">
        <v>264</v>
      </c>
    </row>
    <row r="26" spans="2:8" x14ac:dyDescent="0.25">
      <c r="B26" s="28">
        <v>4</v>
      </c>
      <c r="C26" s="29" t="s">
        <v>105</v>
      </c>
      <c r="D26" s="97" t="s">
        <v>260</v>
      </c>
      <c r="E26" s="2"/>
      <c r="G26" s="95">
        <v>20</v>
      </c>
      <c r="H26" s="29" t="s">
        <v>265</v>
      </c>
    </row>
    <row r="27" spans="2:8" x14ac:dyDescent="0.25">
      <c r="B27" s="28">
        <v>5</v>
      </c>
      <c r="C27" s="29" t="s">
        <v>106</v>
      </c>
      <c r="D27" s="97" t="s">
        <v>260</v>
      </c>
      <c r="E27" s="2"/>
      <c r="G27" s="95">
        <v>13</v>
      </c>
      <c r="H27" s="29" t="s">
        <v>266</v>
      </c>
    </row>
    <row r="28" spans="2:8" x14ac:dyDescent="0.25">
      <c r="B28" s="28">
        <v>6</v>
      </c>
      <c r="C28" s="29" t="s">
        <v>107</v>
      </c>
      <c r="D28" s="97" t="s">
        <v>260</v>
      </c>
      <c r="E28" s="2"/>
      <c r="G28" s="95">
        <v>20</v>
      </c>
      <c r="H28" s="29" t="s">
        <v>265</v>
      </c>
    </row>
    <row r="29" spans="2:8" ht="28.5" x14ac:dyDescent="0.25">
      <c r="B29" s="28">
        <v>9</v>
      </c>
      <c r="C29" s="29" t="s">
        <v>108</v>
      </c>
      <c r="D29" s="97" t="s">
        <v>208</v>
      </c>
      <c r="E29" s="2"/>
      <c r="G29" s="95">
        <v>24</v>
      </c>
      <c r="H29" s="99" t="s">
        <v>267</v>
      </c>
    </row>
    <row r="30" spans="2:8" x14ac:dyDescent="0.25">
      <c r="B30" s="28">
        <v>10</v>
      </c>
      <c r="C30" s="29" t="s">
        <v>109</v>
      </c>
      <c r="D30" s="97" t="s">
        <v>208</v>
      </c>
      <c r="E30" s="2"/>
      <c r="G30" s="95">
        <v>25</v>
      </c>
      <c r="H30" s="99" t="s">
        <v>268</v>
      </c>
    </row>
    <row r="31" spans="2:8" ht="28.5" x14ac:dyDescent="0.25">
      <c r="B31" s="28">
        <v>11</v>
      </c>
      <c r="C31" s="29" t="s">
        <v>110</v>
      </c>
      <c r="D31" s="97" t="s">
        <v>260</v>
      </c>
      <c r="E31" s="2"/>
      <c r="G31" s="95">
        <v>26</v>
      </c>
      <c r="H31" s="99" t="s">
        <v>269</v>
      </c>
    </row>
    <row r="32" spans="2:8" ht="28.5" x14ac:dyDescent="0.25">
      <c r="B32" s="28">
        <v>12</v>
      </c>
      <c r="C32" s="29" t="s">
        <v>111</v>
      </c>
      <c r="D32" s="97" t="s">
        <v>260</v>
      </c>
      <c r="E32" s="2"/>
      <c r="G32" s="95">
        <v>27</v>
      </c>
      <c r="H32" s="99" t="s">
        <v>270</v>
      </c>
    </row>
    <row r="33" spans="2:8" ht="28.5" x14ac:dyDescent="0.25">
      <c r="B33" s="28">
        <v>13</v>
      </c>
      <c r="C33" s="29" t="s">
        <v>112</v>
      </c>
      <c r="D33" s="97" t="s">
        <v>208</v>
      </c>
      <c r="E33" s="2"/>
      <c r="G33" s="95">
        <v>28</v>
      </c>
      <c r="H33" s="99" t="s">
        <v>271</v>
      </c>
    </row>
    <row r="34" spans="2:8" x14ac:dyDescent="0.25">
      <c r="B34" s="28">
        <v>14</v>
      </c>
      <c r="C34" s="29" t="s">
        <v>113</v>
      </c>
      <c r="D34" s="97" t="s">
        <v>260</v>
      </c>
      <c r="E34" s="2"/>
      <c r="G34" s="95">
        <v>29</v>
      </c>
      <c r="H34" s="99" t="s">
        <v>272</v>
      </c>
    </row>
    <row r="35" spans="2:8" x14ac:dyDescent="0.25">
      <c r="B35" s="28">
        <v>15</v>
      </c>
      <c r="C35" s="29" t="s">
        <v>114</v>
      </c>
      <c r="D35" s="97" t="s">
        <v>260</v>
      </c>
      <c r="E35" s="2"/>
      <c r="G35" s="95">
        <v>30</v>
      </c>
      <c r="H35" s="99" t="s">
        <v>273</v>
      </c>
    </row>
    <row r="36" spans="2:8" ht="125.25" hidden="1" customHeight="1" outlineLevel="1" x14ac:dyDescent="0.25">
      <c r="B36" s="249" t="s">
        <v>274</v>
      </c>
      <c r="C36" s="250"/>
      <c r="D36" s="250"/>
      <c r="E36" s="251"/>
      <c r="G36" s="95"/>
      <c r="H36" s="99"/>
    </row>
    <row r="37" spans="2:8" ht="45" collapsed="1" x14ac:dyDescent="0.25">
      <c r="B37" s="28">
        <v>19</v>
      </c>
      <c r="C37" s="29" t="s">
        <v>115</v>
      </c>
      <c r="D37" s="97" t="s">
        <v>260</v>
      </c>
      <c r="E37" s="98" t="s">
        <v>275</v>
      </c>
      <c r="G37" s="95">
        <v>31</v>
      </c>
      <c r="H37" s="99" t="s">
        <v>276</v>
      </c>
    </row>
    <row r="38" spans="2:8" ht="101.25" hidden="1" customHeight="1" outlineLevel="1" x14ac:dyDescent="0.25">
      <c r="B38" s="249" t="s">
        <v>259</v>
      </c>
      <c r="C38" s="250"/>
      <c r="D38" s="250"/>
      <c r="E38" s="251"/>
      <c r="G38" s="95"/>
      <c r="H38" s="99"/>
    </row>
    <row r="39" spans="2:8" ht="45" collapsed="1" x14ac:dyDescent="0.25">
      <c r="B39" s="28">
        <v>20</v>
      </c>
      <c r="C39" s="29" t="s">
        <v>116</v>
      </c>
      <c r="D39" s="97" t="s">
        <v>260</v>
      </c>
      <c r="E39" s="98" t="s">
        <v>277</v>
      </c>
      <c r="G39" s="95">
        <v>32</v>
      </c>
      <c r="H39" s="99" t="s">
        <v>278</v>
      </c>
    </row>
    <row r="40" spans="2:8" ht="30" x14ac:dyDescent="0.25">
      <c r="B40" s="28">
        <v>21</v>
      </c>
      <c r="C40" s="29" t="s">
        <v>117</v>
      </c>
      <c r="D40" s="97" t="s">
        <v>260</v>
      </c>
      <c r="E40" s="98" t="s">
        <v>263</v>
      </c>
      <c r="G40" s="95">
        <v>33</v>
      </c>
      <c r="H40" s="99" t="s">
        <v>279</v>
      </c>
    </row>
    <row r="41" spans="2:8" x14ac:dyDescent="0.25">
      <c r="B41" s="28">
        <v>24</v>
      </c>
      <c r="C41" s="29" t="s">
        <v>120</v>
      </c>
      <c r="D41" s="97" t="s">
        <v>260</v>
      </c>
      <c r="E41" s="2"/>
      <c r="G41" s="95">
        <v>34</v>
      </c>
      <c r="H41" s="99" t="s">
        <v>280</v>
      </c>
    </row>
    <row r="42" spans="2:8" x14ac:dyDescent="0.25">
      <c r="B42" s="28">
        <v>26</v>
      </c>
      <c r="C42" s="29" t="s">
        <v>122</v>
      </c>
      <c r="D42" s="97" t="s">
        <v>260</v>
      </c>
      <c r="E42" s="2"/>
      <c r="G42" s="95">
        <v>35</v>
      </c>
      <c r="H42" s="99" t="s">
        <v>281</v>
      </c>
    </row>
    <row r="43" spans="2:8" ht="18" customHeight="1" x14ac:dyDescent="0.25">
      <c r="B43" s="28">
        <v>27</v>
      </c>
      <c r="C43" s="29" t="s">
        <v>123</v>
      </c>
      <c r="D43" s="97" t="s">
        <v>209</v>
      </c>
      <c r="E43" s="2"/>
      <c r="G43" s="95">
        <v>36</v>
      </c>
      <c r="H43" s="99" t="s">
        <v>282</v>
      </c>
    </row>
    <row r="44" spans="2:8" x14ac:dyDescent="0.25">
      <c r="B44" s="28">
        <v>28</v>
      </c>
      <c r="C44" s="29" t="s">
        <v>124</v>
      </c>
      <c r="D44" s="97" t="s">
        <v>208</v>
      </c>
      <c r="E44" s="2"/>
      <c r="G44" s="95">
        <v>37</v>
      </c>
      <c r="H44" s="99" t="s">
        <v>283</v>
      </c>
    </row>
    <row r="45" spans="2:8" x14ac:dyDescent="0.25">
      <c r="B45" s="28">
        <v>29</v>
      </c>
      <c r="C45" s="29" t="s">
        <v>125</v>
      </c>
      <c r="D45" s="97" t="s">
        <v>260</v>
      </c>
      <c r="E45" s="2"/>
      <c r="G45" s="95">
        <v>38</v>
      </c>
      <c r="H45" s="99" t="s">
        <v>284</v>
      </c>
    </row>
    <row r="46" spans="2:8" x14ac:dyDescent="0.25">
      <c r="B46" s="28">
        <v>30</v>
      </c>
      <c r="C46" s="29" t="s">
        <v>126</v>
      </c>
      <c r="D46" s="97" t="s">
        <v>260</v>
      </c>
      <c r="E46" s="2"/>
      <c r="G46" s="95">
        <v>39</v>
      </c>
      <c r="H46" s="99" t="s">
        <v>285</v>
      </c>
    </row>
    <row r="47" spans="2:8" x14ac:dyDescent="0.25">
      <c r="B47" s="28">
        <v>31</v>
      </c>
      <c r="C47" s="29" t="s">
        <v>127</v>
      </c>
      <c r="D47" s="97" t="s">
        <v>260</v>
      </c>
      <c r="E47" s="2"/>
      <c r="G47" s="95">
        <v>40</v>
      </c>
      <c r="H47" s="99" t="s">
        <v>286</v>
      </c>
    </row>
    <row r="48" spans="2:8" x14ac:dyDescent="0.25">
      <c r="B48" s="28">
        <v>32</v>
      </c>
      <c r="C48" s="29" t="s">
        <v>128</v>
      </c>
      <c r="D48" s="97" t="s">
        <v>260</v>
      </c>
      <c r="E48" s="2"/>
      <c r="G48" s="95">
        <v>41</v>
      </c>
      <c r="H48" s="99" t="s">
        <v>287</v>
      </c>
    </row>
    <row r="49" spans="2:8" x14ac:dyDescent="0.25">
      <c r="B49" s="28">
        <v>33</v>
      </c>
      <c r="C49" s="29" t="s">
        <v>129</v>
      </c>
      <c r="D49" s="97" t="s">
        <v>260</v>
      </c>
      <c r="E49" s="2"/>
      <c r="G49" s="95">
        <v>42</v>
      </c>
      <c r="H49" s="99" t="s">
        <v>288</v>
      </c>
    </row>
    <row r="50" spans="2:8" x14ac:dyDescent="0.25">
      <c r="B50" s="28">
        <v>34</v>
      </c>
      <c r="C50" s="29" t="s">
        <v>130</v>
      </c>
      <c r="D50" s="97" t="s">
        <v>260</v>
      </c>
      <c r="E50" s="2"/>
      <c r="G50" s="95">
        <v>43</v>
      </c>
      <c r="H50" s="99" t="s">
        <v>289</v>
      </c>
    </row>
    <row r="51" spans="2:8" x14ac:dyDescent="0.25">
      <c r="B51" s="28">
        <v>35</v>
      </c>
      <c r="C51" s="29" t="s">
        <v>131</v>
      </c>
      <c r="D51" s="97" t="s">
        <v>260</v>
      </c>
      <c r="E51" s="2"/>
      <c r="G51" s="95">
        <v>48</v>
      </c>
      <c r="H51" s="99" t="s">
        <v>290</v>
      </c>
    </row>
    <row r="52" spans="2:8" x14ac:dyDescent="0.25">
      <c r="B52" s="28">
        <v>36</v>
      </c>
      <c r="C52" s="29" t="s">
        <v>132</v>
      </c>
      <c r="D52" s="97" t="s">
        <v>260</v>
      </c>
      <c r="E52" s="2"/>
      <c r="G52" s="95">
        <v>51</v>
      </c>
      <c r="H52" s="99" t="s">
        <v>291</v>
      </c>
    </row>
    <row r="53" spans="2:8" x14ac:dyDescent="0.25">
      <c r="B53" s="28">
        <v>37</v>
      </c>
      <c r="C53" s="29" t="s">
        <v>133</v>
      </c>
      <c r="D53" s="97" t="s">
        <v>260</v>
      </c>
      <c r="E53" s="2"/>
      <c r="G53" s="95">
        <v>52</v>
      </c>
      <c r="H53" s="99" t="s">
        <v>292</v>
      </c>
    </row>
    <row r="54" spans="2:8" x14ac:dyDescent="0.25">
      <c r="B54" s="28">
        <v>38</v>
      </c>
      <c r="C54" s="29" t="s">
        <v>134</v>
      </c>
      <c r="D54" s="97" t="s">
        <v>208</v>
      </c>
      <c r="E54" s="2"/>
      <c r="G54" s="95">
        <v>53</v>
      </c>
      <c r="H54" s="99" t="s">
        <v>293</v>
      </c>
    </row>
    <row r="55" spans="2:8" ht="28.5" x14ac:dyDescent="0.25">
      <c r="B55" s="28" t="s">
        <v>140</v>
      </c>
      <c r="C55" s="30" t="s">
        <v>294</v>
      </c>
      <c r="D55" s="97" t="s">
        <v>260</v>
      </c>
      <c r="E55" s="2"/>
      <c r="G55" s="95">
        <v>54</v>
      </c>
      <c r="H55" s="99" t="s">
        <v>295</v>
      </c>
    </row>
    <row r="56" spans="2:8" x14ac:dyDescent="0.25">
      <c r="B56" s="28">
        <v>48</v>
      </c>
      <c r="C56" s="30" t="s">
        <v>141</v>
      </c>
      <c r="D56" s="97" t="s">
        <v>260</v>
      </c>
      <c r="E56" s="2"/>
      <c r="G56" s="95">
        <v>55</v>
      </c>
      <c r="H56" s="99" t="s">
        <v>296</v>
      </c>
    </row>
    <row r="57" spans="2:8" x14ac:dyDescent="0.25">
      <c r="B57" s="28">
        <v>49</v>
      </c>
      <c r="C57" s="30" t="s">
        <v>142</v>
      </c>
      <c r="D57" s="97" t="s">
        <v>208</v>
      </c>
      <c r="E57" s="2"/>
      <c r="G57" s="95">
        <v>56</v>
      </c>
      <c r="H57" s="99" t="s">
        <v>297</v>
      </c>
    </row>
    <row r="58" spans="2:8" x14ac:dyDescent="0.25">
      <c r="B58" s="28">
        <v>50</v>
      </c>
      <c r="C58" s="30" t="s">
        <v>143</v>
      </c>
      <c r="D58" s="97" t="s">
        <v>260</v>
      </c>
      <c r="E58" s="2"/>
      <c r="G58" s="95">
        <v>57</v>
      </c>
      <c r="H58" s="99" t="s">
        <v>298</v>
      </c>
    </row>
    <row r="59" spans="2:8" x14ac:dyDescent="0.25">
      <c r="B59" s="28">
        <v>54</v>
      </c>
      <c r="C59" s="32" t="s">
        <v>147</v>
      </c>
      <c r="D59" s="97" t="s">
        <v>260</v>
      </c>
      <c r="E59" s="2"/>
      <c r="G59" s="95">
        <v>58</v>
      </c>
      <c r="H59" s="99" t="s">
        <v>299</v>
      </c>
    </row>
    <row r="60" spans="2:8" x14ac:dyDescent="0.25">
      <c r="B60" s="28">
        <v>55</v>
      </c>
      <c r="C60" s="33" t="s">
        <v>148</v>
      </c>
      <c r="D60" s="97" t="s">
        <v>260</v>
      </c>
      <c r="E60" s="2"/>
      <c r="G60" s="95">
        <v>59</v>
      </c>
      <c r="H60" s="99" t="s">
        <v>300</v>
      </c>
    </row>
    <row r="61" spans="2:8" x14ac:dyDescent="0.25">
      <c r="B61" s="28">
        <v>56</v>
      </c>
      <c r="C61" s="33" t="s">
        <v>149</v>
      </c>
      <c r="D61" s="97" t="s">
        <v>260</v>
      </c>
      <c r="E61" s="2"/>
      <c r="G61" s="95">
        <v>60</v>
      </c>
      <c r="H61" s="99" t="s">
        <v>301</v>
      </c>
    </row>
    <row r="62" spans="2:8" x14ac:dyDescent="0.25">
      <c r="G62" s="95">
        <v>61</v>
      </c>
      <c r="H62" s="99" t="s">
        <v>302</v>
      </c>
    </row>
    <row r="63" spans="2:8" x14ac:dyDescent="0.25">
      <c r="G63" s="95">
        <v>62</v>
      </c>
      <c r="H63" s="99" t="s">
        <v>303</v>
      </c>
    </row>
    <row r="64" spans="2:8" x14ac:dyDescent="0.25">
      <c r="B64" s="237" t="s">
        <v>304</v>
      </c>
      <c r="C64" s="239"/>
      <c r="G64" s="95">
        <v>63</v>
      </c>
      <c r="H64" s="99" t="s">
        <v>305</v>
      </c>
    </row>
    <row r="65" spans="2:8" x14ac:dyDescent="0.25">
      <c r="B65" s="94" t="s">
        <v>306</v>
      </c>
      <c r="C65" s="94" t="s">
        <v>101</v>
      </c>
      <c r="G65" s="95">
        <v>64</v>
      </c>
      <c r="H65" s="99" t="s">
        <v>307</v>
      </c>
    </row>
    <row r="66" spans="2:8" ht="28.5" x14ac:dyDescent="0.25">
      <c r="B66" s="28">
        <v>1</v>
      </c>
      <c r="C66" s="29" t="s">
        <v>308</v>
      </c>
      <c r="G66" s="95">
        <v>71</v>
      </c>
      <c r="H66" s="100" t="s">
        <v>309</v>
      </c>
    </row>
    <row r="67" spans="2:8" ht="28.5" x14ac:dyDescent="0.25">
      <c r="B67" s="28">
        <v>2</v>
      </c>
      <c r="C67" s="29" t="s">
        <v>310</v>
      </c>
      <c r="G67" s="95">
        <v>74</v>
      </c>
      <c r="H67" s="31" t="s">
        <v>311</v>
      </c>
    </row>
    <row r="68" spans="2:8" x14ac:dyDescent="0.25">
      <c r="B68" s="28">
        <v>4</v>
      </c>
      <c r="C68" s="29" t="s">
        <v>312</v>
      </c>
      <c r="G68" s="95">
        <v>75</v>
      </c>
      <c r="H68" s="31" t="s">
        <v>313</v>
      </c>
    </row>
    <row r="69" spans="2:8" ht="28.5" x14ac:dyDescent="0.25">
      <c r="B69" s="28">
        <v>5</v>
      </c>
      <c r="C69" s="29" t="s">
        <v>314</v>
      </c>
      <c r="G69" s="95">
        <v>76</v>
      </c>
      <c r="H69" s="31" t="s">
        <v>315</v>
      </c>
    </row>
    <row r="70" spans="2:8" ht="28.5" x14ac:dyDescent="0.25">
      <c r="B70" s="28">
        <v>6</v>
      </c>
      <c r="C70" s="29" t="s">
        <v>316</v>
      </c>
      <c r="G70" s="95">
        <v>77</v>
      </c>
      <c r="H70" s="31" t="s">
        <v>317</v>
      </c>
    </row>
    <row r="71" spans="2:8" x14ac:dyDescent="0.25">
      <c r="B71" s="28">
        <v>7</v>
      </c>
      <c r="C71" s="29" t="s">
        <v>318</v>
      </c>
      <c r="G71" s="95">
        <v>78</v>
      </c>
      <c r="H71" s="31" t="s">
        <v>319</v>
      </c>
    </row>
    <row r="72" spans="2:8" ht="42.75" x14ac:dyDescent="0.25">
      <c r="B72" s="28">
        <v>8</v>
      </c>
      <c r="C72" s="29" t="s">
        <v>320</v>
      </c>
      <c r="G72" s="95">
        <v>80</v>
      </c>
      <c r="H72" s="31" t="s">
        <v>321</v>
      </c>
    </row>
    <row r="73" spans="2:8" x14ac:dyDescent="0.25">
      <c r="G73" s="95">
        <v>82</v>
      </c>
      <c r="H73" s="99" t="s">
        <v>322</v>
      </c>
    </row>
    <row r="74" spans="2:8" x14ac:dyDescent="0.25">
      <c r="G74" s="95">
        <v>83</v>
      </c>
      <c r="H74" s="99" t="s">
        <v>323</v>
      </c>
    </row>
    <row r="75" spans="2:8" x14ac:dyDescent="0.25">
      <c r="G75" s="95">
        <v>84</v>
      </c>
      <c r="H75" s="99" t="s">
        <v>324</v>
      </c>
    </row>
    <row r="76" spans="2:8" x14ac:dyDescent="0.25">
      <c r="G76" s="95">
        <v>85</v>
      </c>
      <c r="H76" s="99" t="s">
        <v>325</v>
      </c>
    </row>
    <row r="77" spans="2:8" x14ac:dyDescent="0.25">
      <c r="G77" s="95">
        <v>86</v>
      </c>
      <c r="H77" s="99" t="s">
        <v>326</v>
      </c>
    </row>
    <row r="78" spans="2:8" x14ac:dyDescent="0.25">
      <c r="G78" s="95">
        <v>87</v>
      </c>
      <c r="H78" s="99" t="s">
        <v>327</v>
      </c>
    </row>
    <row r="79" spans="2:8" x14ac:dyDescent="0.25">
      <c r="G79" s="95">
        <v>88</v>
      </c>
      <c r="H79" s="99" t="s">
        <v>328</v>
      </c>
    </row>
    <row r="80" spans="2:8" x14ac:dyDescent="0.25">
      <c r="G80" s="95">
        <v>89</v>
      </c>
      <c r="H80" s="99" t="s">
        <v>329</v>
      </c>
    </row>
    <row r="81" spans="7:8" x14ac:dyDescent="0.25">
      <c r="G81" s="95">
        <v>90</v>
      </c>
      <c r="H81" s="99" t="s">
        <v>330</v>
      </c>
    </row>
    <row r="82" spans="7:8" x14ac:dyDescent="0.25">
      <c r="G82" s="95">
        <v>91</v>
      </c>
      <c r="H82" s="99" t="s">
        <v>331</v>
      </c>
    </row>
    <row r="83" spans="7:8" x14ac:dyDescent="0.25">
      <c r="G83" s="95">
        <v>92</v>
      </c>
      <c r="H83" s="99" t="s">
        <v>332</v>
      </c>
    </row>
    <row r="84" spans="7:8" x14ac:dyDescent="0.25">
      <c r="G84" s="95">
        <v>93</v>
      </c>
      <c r="H84" s="99" t="s">
        <v>333</v>
      </c>
    </row>
    <row r="85" spans="7:8" x14ac:dyDescent="0.25">
      <c r="G85" s="95">
        <v>94</v>
      </c>
      <c r="H85" s="99" t="s">
        <v>334</v>
      </c>
    </row>
    <row r="86" spans="7:8" x14ac:dyDescent="0.25">
      <c r="G86" s="95">
        <v>95</v>
      </c>
      <c r="H86" s="99" t="s">
        <v>335</v>
      </c>
    </row>
    <row r="87" spans="7:8" x14ac:dyDescent="0.25">
      <c r="G87" s="95">
        <v>96</v>
      </c>
      <c r="H87" s="99" t="s">
        <v>336</v>
      </c>
    </row>
    <row r="88" spans="7:8" x14ac:dyDescent="0.25">
      <c r="G88" s="95">
        <v>97</v>
      </c>
      <c r="H88" s="99" t="s">
        <v>337</v>
      </c>
    </row>
    <row r="89" spans="7:8" x14ac:dyDescent="0.25">
      <c r="G89" s="95">
        <v>99</v>
      </c>
      <c r="H89" s="99" t="s">
        <v>338</v>
      </c>
    </row>
    <row r="90" spans="7:8" x14ac:dyDescent="0.25">
      <c r="G90" s="95">
        <v>100</v>
      </c>
      <c r="H90" s="99" t="s">
        <v>339</v>
      </c>
    </row>
    <row r="91" spans="7:8" x14ac:dyDescent="0.25">
      <c r="G91" s="95">
        <v>101</v>
      </c>
      <c r="H91" s="99" t="s">
        <v>340</v>
      </c>
    </row>
    <row r="92" spans="7:8" x14ac:dyDescent="0.25">
      <c r="G92" s="95">
        <v>107</v>
      </c>
      <c r="H92" s="33" t="s">
        <v>341</v>
      </c>
    </row>
    <row r="93" spans="7:8" x14ac:dyDescent="0.25">
      <c r="G93" s="101">
        <v>108</v>
      </c>
      <c r="H93" s="33" t="s">
        <v>342</v>
      </c>
    </row>
    <row r="94" spans="7:8" x14ac:dyDescent="0.25">
      <c r="G94" s="101">
        <v>109</v>
      </c>
      <c r="H94" s="33" t="s">
        <v>343</v>
      </c>
    </row>
    <row r="95" spans="7:8" x14ac:dyDescent="0.25">
      <c r="G95" s="101">
        <v>110</v>
      </c>
      <c r="H95" s="102" t="s">
        <v>344</v>
      </c>
    </row>
    <row r="96" spans="7:8" x14ac:dyDescent="0.25">
      <c r="G96" s="101">
        <v>111</v>
      </c>
      <c r="H96" s="102" t="s">
        <v>345</v>
      </c>
    </row>
    <row r="97" spans="1:10" x14ac:dyDescent="0.25">
      <c r="G97" s="101">
        <v>112</v>
      </c>
      <c r="H97" s="102" t="s">
        <v>346</v>
      </c>
    </row>
    <row r="98" spans="1:10" x14ac:dyDescent="0.25">
      <c r="G98" s="101">
        <v>113</v>
      </c>
      <c r="H98" s="102" t="s">
        <v>347</v>
      </c>
    </row>
    <row r="100" spans="1:10" x14ac:dyDescent="0.25">
      <c r="A100" s="103"/>
      <c r="B100" s="103"/>
      <c r="C100" s="103"/>
      <c r="D100" s="103"/>
      <c r="E100" s="103"/>
      <c r="F100" s="103"/>
      <c r="G100" s="103"/>
      <c r="H100" s="103"/>
      <c r="I100" s="103"/>
      <c r="J100" s="103"/>
    </row>
    <row r="102" spans="1:10" x14ac:dyDescent="0.25">
      <c r="B102" s="92" t="s">
        <v>244</v>
      </c>
      <c r="C102" s="92"/>
      <c r="D102" s="92"/>
      <c r="E102" s="92"/>
      <c r="F102" s="92"/>
      <c r="G102" s="92"/>
      <c r="H102" s="92"/>
    </row>
    <row r="104" spans="1:10" x14ac:dyDescent="0.25">
      <c r="B104" s="246" t="s">
        <v>252</v>
      </c>
      <c r="C104" s="246"/>
      <c r="D104" s="246"/>
      <c r="E104" s="246"/>
      <c r="G104" s="237" t="s">
        <v>253</v>
      </c>
      <c r="H104" s="239"/>
    </row>
    <row r="105" spans="1:10" ht="30" x14ac:dyDescent="0.25">
      <c r="B105" s="94" t="s">
        <v>254</v>
      </c>
      <c r="C105" s="94" t="s">
        <v>101</v>
      </c>
      <c r="D105" s="94" t="s">
        <v>255</v>
      </c>
      <c r="E105" s="94" t="s">
        <v>256</v>
      </c>
      <c r="G105" s="94" t="s">
        <v>257</v>
      </c>
      <c r="H105" s="94" t="s">
        <v>101</v>
      </c>
    </row>
    <row r="106" spans="1:10" ht="70.5" hidden="1" customHeight="1" outlineLevel="1" x14ac:dyDescent="0.25">
      <c r="B106" s="240" t="s">
        <v>348</v>
      </c>
      <c r="C106" s="241"/>
      <c r="D106" s="241"/>
      <c r="E106" s="242"/>
      <c r="G106" s="104"/>
      <c r="H106" s="94"/>
    </row>
    <row r="107" spans="1:10" ht="30" collapsed="1" x14ac:dyDescent="0.25">
      <c r="B107" s="28">
        <v>39</v>
      </c>
      <c r="C107" s="29" t="s">
        <v>135</v>
      </c>
      <c r="D107" s="97" t="s">
        <v>260</v>
      </c>
      <c r="E107" s="98" t="s">
        <v>349</v>
      </c>
      <c r="G107" s="95">
        <v>2</v>
      </c>
      <c r="H107" s="29" t="s">
        <v>258</v>
      </c>
    </row>
    <row r="108" spans="1:10" ht="42.75" x14ac:dyDescent="0.25">
      <c r="B108" s="28">
        <v>53</v>
      </c>
      <c r="C108" s="105" t="s">
        <v>146</v>
      </c>
      <c r="D108" s="97" t="s">
        <v>260</v>
      </c>
      <c r="E108" s="2"/>
      <c r="G108" s="106">
        <v>65</v>
      </c>
      <c r="H108" s="99" t="s">
        <v>350</v>
      </c>
    </row>
    <row r="109" spans="1:10" ht="28.5" x14ac:dyDescent="0.25">
      <c r="G109" s="106">
        <v>66</v>
      </c>
      <c r="H109" s="99" t="s">
        <v>351</v>
      </c>
    </row>
    <row r="110" spans="1:10" x14ac:dyDescent="0.25">
      <c r="G110" s="107">
        <v>101</v>
      </c>
      <c r="H110" s="99" t="s">
        <v>340</v>
      </c>
    </row>
    <row r="111" spans="1:10" ht="42.75" x14ac:dyDescent="0.25">
      <c r="G111" s="101">
        <v>105</v>
      </c>
      <c r="H111" s="31" t="s">
        <v>352</v>
      </c>
    </row>
    <row r="112" spans="1:10" ht="42.75" x14ac:dyDescent="0.25">
      <c r="G112" s="101">
        <v>106</v>
      </c>
      <c r="H112" s="105" t="s">
        <v>353</v>
      </c>
    </row>
    <row r="114" spans="2:8" x14ac:dyDescent="0.25">
      <c r="B114" s="92" t="s">
        <v>245</v>
      </c>
      <c r="C114" s="92"/>
      <c r="D114" s="92"/>
      <c r="E114" s="92"/>
      <c r="F114" s="92"/>
      <c r="G114" s="92"/>
      <c r="H114" s="92"/>
    </row>
    <row r="116" spans="2:8" x14ac:dyDescent="0.25">
      <c r="B116" s="246" t="s">
        <v>252</v>
      </c>
      <c r="C116" s="246"/>
      <c r="D116" s="246"/>
      <c r="E116" s="246"/>
      <c r="G116" s="237" t="s">
        <v>253</v>
      </c>
      <c r="H116" s="239"/>
    </row>
    <row r="117" spans="2:8" ht="30" x14ac:dyDescent="0.25">
      <c r="B117" s="94" t="s">
        <v>254</v>
      </c>
      <c r="C117" s="94" t="s">
        <v>101</v>
      </c>
      <c r="D117" s="94" t="s">
        <v>255</v>
      </c>
      <c r="E117" s="94" t="s">
        <v>256</v>
      </c>
      <c r="G117" s="94" t="s">
        <v>257</v>
      </c>
      <c r="H117" s="94" t="s">
        <v>101</v>
      </c>
    </row>
    <row r="118" spans="2:8" ht="149.25" hidden="1" customHeight="1" outlineLevel="1" x14ac:dyDescent="0.25">
      <c r="B118" s="240" t="s">
        <v>354</v>
      </c>
      <c r="C118" s="241"/>
      <c r="D118" s="241"/>
      <c r="E118" s="242"/>
    </row>
    <row r="119" spans="2:8" ht="30" collapsed="1" x14ac:dyDescent="0.25">
      <c r="B119" s="28">
        <v>44</v>
      </c>
      <c r="C119" s="29" t="s">
        <v>136</v>
      </c>
      <c r="D119" s="97" t="s">
        <v>260</v>
      </c>
      <c r="E119" s="98" t="s">
        <v>355</v>
      </c>
      <c r="G119" s="95">
        <v>2</v>
      </c>
      <c r="H119" s="29" t="s">
        <v>258</v>
      </c>
    </row>
    <row r="120" spans="2:8" ht="42.75" x14ac:dyDescent="0.25">
      <c r="B120" s="28">
        <v>51</v>
      </c>
      <c r="C120" s="31" t="s">
        <v>144</v>
      </c>
      <c r="D120" s="97" t="s">
        <v>208</v>
      </c>
      <c r="E120" s="97" t="s">
        <v>356</v>
      </c>
      <c r="G120" s="106">
        <v>69</v>
      </c>
      <c r="H120" s="99" t="s">
        <v>357</v>
      </c>
    </row>
    <row r="121" spans="2:8" ht="42.75" x14ac:dyDescent="0.25">
      <c r="B121" s="28">
        <v>52</v>
      </c>
      <c r="C121" s="105" t="s">
        <v>145</v>
      </c>
      <c r="D121" s="97" t="s">
        <v>260</v>
      </c>
      <c r="E121" s="2"/>
      <c r="G121" s="106">
        <v>70</v>
      </c>
      <c r="H121" s="99" t="s">
        <v>358</v>
      </c>
    </row>
    <row r="122" spans="2:8" x14ac:dyDescent="0.25">
      <c r="G122" s="107">
        <v>101</v>
      </c>
      <c r="H122" s="99" t="s">
        <v>340</v>
      </c>
    </row>
    <row r="123" spans="2:8" ht="42.75" x14ac:dyDescent="0.25">
      <c r="G123" s="101">
        <v>102</v>
      </c>
      <c r="H123" s="31" t="s">
        <v>359</v>
      </c>
    </row>
    <row r="124" spans="2:8" ht="42.75" x14ac:dyDescent="0.25">
      <c r="B124" s="237" t="s">
        <v>304</v>
      </c>
      <c r="C124" s="239"/>
      <c r="G124" s="101">
        <v>103</v>
      </c>
      <c r="H124" s="31" t="s">
        <v>360</v>
      </c>
    </row>
    <row r="125" spans="2:8" ht="42.75" x14ac:dyDescent="0.25">
      <c r="B125" s="94" t="s">
        <v>306</v>
      </c>
      <c r="C125" s="94" t="s">
        <v>101</v>
      </c>
      <c r="G125" s="101">
        <v>104</v>
      </c>
      <c r="H125" s="31" t="s">
        <v>361</v>
      </c>
    </row>
    <row r="126" spans="2:8" ht="28.5" x14ac:dyDescent="0.25">
      <c r="B126" s="28">
        <v>1</v>
      </c>
      <c r="C126" s="29" t="s">
        <v>308</v>
      </c>
    </row>
    <row r="127" spans="2:8" x14ac:dyDescent="0.25">
      <c r="B127" s="28">
        <v>4</v>
      </c>
      <c r="C127" s="29" t="s">
        <v>312</v>
      </c>
    </row>
    <row r="128" spans="2:8" ht="28.5" x14ac:dyDescent="0.25">
      <c r="B128" s="28">
        <v>5</v>
      </c>
      <c r="C128" s="29" t="s">
        <v>314</v>
      </c>
    </row>
    <row r="135" spans="1:10" x14ac:dyDescent="0.25">
      <c r="A135" s="103"/>
      <c r="B135" s="103"/>
      <c r="C135" s="103"/>
      <c r="D135" s="103"/>
      <c r="E135" s="103"/>
      <c r="F135" s="103"/>
      <c r="G135" s="103"/>
      <c r="H135" s="103"/>
      <c r="I135" s="103"/>
      <c r="J135" s="103"/>
    </row>
    <row r="137" spans="1:10" ht="34.5" customHeight="1" x14ac:dyDescent="0.25">
      <c r="B137" s="245" t="s">
        <v>246</v>
      </c>
      <c r="C137" s="245"/>
      <c r="D137" s="245"/>
      <c r="E137" s="245"/>
      <c r="F137" s="245"/>
      <c r="G137" s="245"/>
      <c r="H137" s="245"/>
    </row>
    <row r="139" spans="1:10" x14ac:dyDescent="0.25">
      <c r="B139" s="246" t="s">
        <v>252</v>
      </c>
      <c r="C139" s="246"/>
      <c r="D139" s="246"/>
      <c r="E139" s="246"/>
      <c r="G139" s="237" t="s">
        <v>253</v>
      </c>
      <c r="H139" s="239"/>
    </row>
    <row r="140" spans="1:10" ht="30" x14ac:dyDescent="0.25">
      <c r="B140" s="94" t="s">
        <v>254</v>
      </c>
      <c r="C140" s="94" t="s">
        <v>101</v>
      </c>
      <c r="D140" s="94" t="s">
        <v>255</v>
      </c>
      <c r="E140" s="94" t="s">
        <v>256</v>
      </c>
      <c r="G140" s="94" t="s">
        <v>257</v>
      </c>
      <c r="H140" s="94" t="s">
        <v>101</v>
      </c>
    </row>
    <row r="141" spans="1:10" ht="53.25" hidden="1" customHeight="1" outlineLevel="1" x14ac:dyDescent="0.25">
      <c r="B141" s="247" t="s">
        <v>362</v>
      </c>
      <c r="C141" s="248"/>
      <c r="D141" s="248"/>
      <c r="E141" s="248"/>
    </row>
    <row r="142" spans="1:10" ht="40.5" hidden="1" customHeight="1" outlineLevel="1" x14ac:dyDescent="0.25">
      <c r="B142" s="108" t="s">
        <v>363</v>
      </c>
      <c r="C142" s="243" t="s">
        <v>364</v>
      </c>
      <c r="D142" s="243"/>
      <c r="E142" s="243"/>
    </row>
    <row r="143" spans="1:10" ht="36" hidden="1" customHeight="1" outlineLevel="1" x14ac:dyDescent="0.25">
      <c r="B143" s="108" t="s">
        <v>365</v>
      </c>
      <c r="C143" s="243" t="s">
        <v>366</v>
      </c>
      <c r="D143" s="243"/>
      <c r="E143" s="243"/>
    </row>
    <row r="144" spans="1:10" ht="164.25" hidden="1" customHeight="1" outlineLevel="1" x14ac:dyDescent="0.25">
      <c r="B144" s="108" t="s">
        <v>367</v>
      </c>
      <c r="C144" s="244" t="s">
        <v>368</v>
      </c>
      <c r="D144" s="243"/>
      <c r="E144" s="243"/>
    </row>
    <row r="145" spans="1:10" ht="49.5" hidden="1" customHeight="1" outlineLevel="1" x14ac:dyDescent="0.25">
      <c r="B145" s="108" t="s">
        <v>241</v>
      </c>
      <c r="C145" s="244" t="s">
        <v>369</v>
      </c>
      <c r="D145" s="243"/>
      <c r="E145" s="243"/>
    </row>
    <row r="146" spans="1:10" ht="45.75" hidden="1" customHeight="1" outlineLevel="1" x14ac:dyDescent="0.25">
      <c r="B146" s="108" t="s">
        <v>370</v>
      </c>
      <c r="C146" s="244" t="s">
        <v>371</v>
      </c>
      <c r="D146" s="243"/>
      <c r="E146" s="243"/>
    </row>
    <row r="147" spans="1:10" ht="92.25" hidden="1" customHeight="1" outlineLevel="1" x14ac:dyDescent="0.25">
      <c r="B147" s="108" t="s">
        <v>372</v>
      </c>
      <c r="C147" s="244" t="s">
        <v>373</v>
      </c>
      <c r="D147" s="243"/>
      <c r="E147" s="243"/>
    </row>
    <row r="148" spans="1:10" collapsed="1" x14ac:dyDescent="0.25">
      <c r="B148" s="28">
        <v>45</v>
      </c>
      <c r="C148" s="29" t="s">
        <v>137</v>
      </c>
      <c r="D148" s="97" t="s">
        <v>208</v>
      </c>
      <c r="E148" s="97" t="s">
        <v>356</v>
      </c>
      <c r="G148" s="28">
        <v>2</v>
      </c>
      <c r="H148" s="29" t="s">
        <v>258</v>
      </c>
    </row>
    <row r="149" spans="1:10" ht="28.5" x14ac:dyDescent="0.25">
      <c r="B149" s="28" t="s">
        <v>138</v>
      </c>
      <c r="C149" s="30" t="s">
        <v>139</v>
      </c>
      <c r="D149" s="97" t="s">
        <v>208</v>
      </c>
      <c r="E149" s="97" t="s">
        <v>356</v>
      </c>
      <c r="G149" s="106">
        <v>73</v>
      </c>
      <c r="H149" s="99" t="s">
        <v>374</v>
      </c>
    </row>
    <row r="150" spans="1:10" x14ac:dyDescent="0.25">
      <c r="G150" s="107">
        <v>98</v>
      </c>
      <c r="H150" s="99" t="s">
        <v>375</v>
      </c>
    </row>
    <row r="151" spans="1:10" x14ac:dyDescent="0.25">
      <c r="B151" s="237" t="s">
        <v>304</v>
      </c>
      <c r="C151" s="239"/>
      <c r="G151" s="107">
        <v>101</v>
      </c>
      <c r="H151" s="99" t="s">
        <v>340</v>
      </c>
    </row>
    <row r="152" spans="1:10" x14ac:dyDescent="0.25">
      <c r="B152" s="94" t="s">
        <v>306</v>
      </c>
      <c r="C152" s="94" t="s">
        <v>101</v>
      </c>
    </row>
    <row r="153" spans="1:10" ht="28.5" x14ac:dyDescent="0.25">
      <c r="B153" s="28">
        <v>1</v>
      </c>
      <c r="C153" s="29" t="s">
        <v>308</v>
      </c>
    </row>
    <row r="154" spans="1:10" x14ac:dyDescent="0.25">
      <c r="B154" s="28">
        <v>4</v>
      </c>
      <c r="C154" s="29" t="s">
        <v>312</v>
      </c>
    </row>
    <row r="155" spans="1:10" ht="28.5" x14ac:dyDescent="0.25">
      <c r="B155" s="28">
        <v>5</v>
      </c>
      <c r="C155" s="29" t="s">
        <v>314</v>
      </c>
    </row>
    <row r="158" spans="1:10" x14ac:dyDescent="0.25">
      <c r="A158" s="103"/>
      <c r="B158" s="103"/>
      <c r="C158" s="103"/>
      <c r="D158" s="103"/>
      <c r="E158" s="103"/>
      <c r="F158" s="103"/>
      <c r="G158" s="103"/>
      <c r="H158" s="103"/>
      <c r="I158" s="103"/>
      <c r="J158" s="103"/>
    </row>
    <row r="160" spans="1:10" x14ac:dyDescent="0.25">
      <c r="B160" s="236" t="s">
        <v>247</v>
      </c>
      <c r="C160" s="236"/>
      <c r="D160" s="236"/>
      <c r="E160" s="236"/>
    </row>
    <row r="162" spans="2:8" x14ac:dyDescent="0.25">
      <c r="B162" s="237" t="s">
        <v>252</v>
      </c>
      <c r="C162" s="238"/>
      <c r="D162" s="238"/>
      <c r="E162" s="239"/>
      <c r="G162" s="237" t="s">
        <v>253</v>
      </c>
      <c r="H162" s="239"/>
    </row>
    <row r="163" spans="2:8" ht="30" x14ac:dyDescent="0.25">
      <c r="B163" s="94" t="s">
        <v>254</v>
      </c>
      <c r="C163" s="94" t="s">
        <v>101</v>
      </c>
      <c r="D163" s="94" t="s">
        <v>255</v>
      </c>
      <c r="E163" s="94" t="s">
        <v>256</v>
      </c>
      <c r="G163" s="94" t="s">
        <v>257</v>
      </c>
      <c r="H163" s="94" t="s">
        <v>101</v>
      </c>
    </row>
    <row r="164" spans="2:8" ht="159.75" hidden="1" customHeight="1" outlineLevel="1" x14ac:dyDescent="0.25">
      <c r="B164" s="240" t="s">
        <v>354</v>
      </c>
      <c r="C164" s="241"/>
      <c r="D164" s="241"/>
      <c r="E164" s="242"/>
    </row>
    <row r="165" spans="2:8" ht="30" collapsed="1" x14ac:dyDescent="0.25">
      <c r="B165" s="28">
        <v>22</v>
      </c>
      <c r="C165" s="29" t="s">
        <v>118</v>
      </c>
      <c r="D165" s="97" t="s">
        <v>260</v>
      </c>
      <c r="E165" s="98" t="s">
        <v>376</v>
      </c>
      <c r="G165" s="28">
        <v>2</v>
      </c>
      <c r="H165" s="29" t="s">
        <v>258</v>
      </c>
    </row>
    <row r="166" spans="2:8" ht="30" x14ac:dyDescent="0.25">
      <c r="B166" s="28">
        <v>23</v>
      </c>
      <c r="C166" s="29" t="s">
        <v>119</v>
      </c>
      <c r="D166" s="97" t="s">
        <v>260</v>
      </c>
      <c r="E166" s="98" t="s">
        <v>376</v>
      </c>
      <c r="G166" s="106">
        <v>44</v>
      </c>
      <c r="H166" s="99" t="s">
        <v>377</v>
      </c>
    </row>
    <row r="167" spans="2:8" ht="30" x14ac:dyDescent="0.25">
      <c r="B167" s="28">
        <v>25</v>
      </c>
      <c r="C167" s="29" t="s">
        <v>121</v>
      </c>
      <c r="D167" s="97" t="s">
        <v>260</v>
      </c>
      <c r="E167" s="98" t="s">
        <v>376</v>
      </c>
      <c r="G167" s="106">
        <v>45</v>
      </c>
      <c r="H167" s="99" t="s">
        <v>378</v>
      </c>
    </row>
    <row r="168" spans="2:8" x14ac:dyDescent="0.25">
      <c r="G168" s="106">
        <v>46</v>
      </c>
      <c r="H168" s="99" t="s">
        <v>379</v>
      </c>
    </row>
    <row r="169" spans="2:8" x14ac:dyDescent="0.25">
      <c r="G169" s="106">
        <v>47</v>
      </c>
      <c r="H169" s="99" t="s">
        <v>380</v>
      </c>
    </row>
    <row r="170" spans="2:8" x14ac:dyDescent="0.25">
      <c r="B170" s="237" t="s">
        <v>304</v>
      </c>
      <c r="C170" s="239"/>
      <c r="G170" s="106">
        <v>49</v>
      </c>
      <c r="H170" s="99" t="s">
        <v>381</v>
      </c>
    </row>
    <row r="171" spans="2:8" x14ac:dyDescent="0.25">
      <c r="B171" s="94" t="s">
        <v>306</v>
      </c>
      <c r="C171" s="94" t="s">
        <v>101</v>
      </c>
      <c r="G171" s="106">
        <v>50</v>
      </c>
      <c r="H171" s="99" t="s">
        <v>382</v>
      </c>
    </row>
    <row r="172" spans="2:8" ht="28.5" x14ac:dyDescent="0.25">
      <c r="B172" s="28">
        <v>1</v>
      </c>
      <c r="C172" s="29" t="s">
        <v>308</v>
      </c>
      <c r="G172" s="106">
        <v>67</v>
      </c>
      <c r="H172" s="99" t="s">
        <v>383</v>
      </c>
    </row>
    <row r="173" spans="2:8" x14ac:dyDescent="0.25">
      <c r="B173" s="28">
        <v>4</v>
      </c>
      <c r="C173" s="29" t="s">
        <v>312</v>
      </c>
      <c r="G173" s="107">
        <v>101</v>
      </c>
      <c r="H173" s="99" t="s">
        <v>340</v>
      </c>
    </row>
    <row r="174" spans="2:8" ht="28.5" x14ac:dyDescent="0.25">
      <c r="B174" s="28">
        <v>5</v>
      </c>
      <c r="C174" s="29" t="s">
        <v>314</v>
      </c>
    </row>
  </sheetData>
  <mergeCells count="38">
    <mergeCell ref="B14:E14"/>
    <mergeCell ref="G14:H18"/>
    <mergeCell ref="B15:E15"/>
    <mergeCell ref="B16:E18"/>
    <mergeCell ref="B4:H4"/>
    <mergeCell ref="B5:H5"/>
    <mergeCell ref="B6:H6"/>
    <mergeCell ref="B7:H7"/>
    <mergeCell ref="B8:H8"/>
    <mergeCell ref="B118:E118"/>
    <mergeCell ref="B20:E20"/>
    <mergeCell ref="G20:H20"/>
    <mergeCell ref="B23:E23"/>
    <mergeCell ref="B36:E36"/>
    <mergeCell ref="B38:E38"/>
    <mergeCell ref="B64:C64"/>
    <mergeCell ref="B104:E104"/>
    <mergeCell ref="G104:H104"/>
    <mergeCell ref="B106:E106"/>
    <mergeCell ref="B116:E116"/>
    <mergeCell ref="G116:H116"/>
    <mergeCell ref="B151:C151"/>
    <mergeCell ref="B124:C124"/>
    <mergeCell ref="B137:H137"/>
    <mergeCell ref="B139:E139"/>
    <mergeCell ref="G139:H139"/>
    <mergeCell ref="B141:E141"/>
    <mergeCell ref="C142:E142"/>
    <mergeCell ref="C143:E143"/>
    <mergeCell ref="C144:E144"/>
    <mergeCell ref="C145:E145"/>
    <mergeCell ref="C146:E146"/>
    <mergeCell ref="C147:E147"/>
    <mergeCell ref="B160:E160"/>
    <mergeCell ref="B162:E162"/>
    <mergeCell ref="G162:H162"/>
    <mergeCell ref="B164:E164"/>
    <mergeCell ref="B170:C170"/>
  </mergeCells>
  <hyperlinks>
    <hyperlink ref="B4" location="APEND6!B13" display="Para el TipoRegimen “002-Sueldos”" xr:uid="{65CFFE90-C7CC-4DD0-9E44-0A9DD8C97B04}"/>
    <hyperlink ref="B5" location="APEND6!B88" display="Para el TipoRegimen “003- Jubilados”, “004-Pensionados” y “012- Jubilados o Pensionados”, específicamente para los casos de Jubilación en una sola exhibición" xr:uid="{6C350D7B-33DA-49C5-97B7-6B489F3847A1}"/>
    <hyperlink ref="B6" location="APEND6!B99" display="Para el TipoRegimen “003- Jubilados”, “004-Pensionados” y “012- Jubilados o Pensionados”, específicamente para los casos de Jubilación en parcialidades" xr:uid="{811C7067-061C-48CD-8229-AA8DEE0CF3F5}"/>
    <hyperlink ref="B7:H7" location="APEND6!A131" display="Para el TipoRegimen “05-Asimilados Miembros Sociedades Cooperativas Produccion”, “06-Asimilados Integrantes Sociedades Asociaciones Civiles”, “07-Asimilados Miembros consejos”, “08-Asimilados comisionistas”, “09- Asimilados Honorarios”, “10-Asimilados acciones” y “11-Asimilados otros”" xr:uid="{20648DF3-127F-4E8C-AC2A-7CC2C20128BA}"/>
    <hyperlink ref="B8" location="APEND6!A137" display="Para el TipoRegimen “13- Indemnización o Separación”" xr:uid="{7505E249-55F2-44E6-9C1F-D915283C1A40}"/>
    <hyperlink ref="E13" location="MENU!B5" display="Ir al MENÚ" xr:uid="{3C1DB6C7-8AA1-4454-A992-BAD794350E6F}"/>
    <hyperlink ref="B5:H5" location="APEND6!B96" display="Para el TipoRegimen “003- Jubilados”, “004-Pensionados” y “012- Jubilados o Pensionados”, específicamente para los casos de Jubilación en una sola exhibición" xr:uid="{4DC7513D-DE78-4526-9913-3C94F7AF4C68}"/>
    <hyperlink ref="B6:H6" location="APEND6!B108" display="Para el TipoRegimen “003- Jubilados”, “004-Pensionados” y “012- Jubilados o Pensionados”, específicamente para los casos de Jubilación en parcialidades" xr:uid="{F7E02EC4-2CB6-4597-9230-DBE4041C7703}"/>
    <hyperlink ref="B8:H8" location="APEND6!B154" display="Para el TipoRegimen “13- Indemnización o Separación”" xr:uid="{62D7E1F5-78BE-49AC-99C3-79875F37299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D46B-C9D3-4377-85ED-543C71A9A6D0}">
  <sheetPr codeName="Hoja1"/>
  <dimension ref="B3:M17"/>
  <sheetViews>
    <sheetView showGridLines="0" workbookViewId="0">
      <selection activeCell="E7" sqref="E7"/>
    </sheetView>
  </sheetViews>
  <sheetFormatPr baseColWidth="10" defaultRowHeight="15" x14ac:dyDescent="0.25"/>
  <cols>
    <col min="1" max="1" width="5.7109375" customWidth="1"/>
    <col min="2" max="2" width="24" customWidth="1"/>
    <col min="3" max="3" width="41.42578125" customWidth="1"/>
    <col min="4" max="4" width="19" customWidth="1"/>
    <col min="5" max="5" width="18.140625" customWidth="1"/>
    <col min="6" max="6" width="17.140625" customWidth="1"/>
    <col min="7" max="7" width="21" customWidth="1"/>
    <col min="8" max="8" width="16.140625" customWidth="1"/>
    <col min="9" max="9" width="18.140625" customWidth="1"/>
    <col min="10" max="10" width="16.140625" customWidth="1"/>
    <col min="11" max="11" width="21.85546875" customWidth="1"/>
    <col min="12" max="12" width="21" customWidth="1"/>
    <col min="13" max="13" width="14.28515625" customWidth="1"/>
  </cols>
  <sheetData>
    <row r="3" spans="2:13" ht="21" x14ac:dyDescent="0.35">
      <c r="B3" s="260" t="s">
        <v>88</v>
      </c>
      <c r="C3" s="260"/>
      <c r="D3" s="260"/>
      <c r="E3" s="260"/>
    </row>
    <row r="4" spans="2:13" x14ac:dyDescent="0.25">
      <c r="B4" s="1" t="s">
        <v>0</v>
      </c>
    </row>
    <row r="6" spans="2:13" ht="35.1" customHeight="1" x14ac:dyDescent="0.25">
      <c r="B6" s="16" t="s">
        <v>1</v>
      </c>
      <c r="C6" s="16" t="s">
        <v>2</v>
      </c>
      <c r="D6" s="16" t="s">
        <v>3</v>
      </c>
      <c r="E6" s="16" t="s">
        <v>4</v>
      </c>
      <c r="F6" s="16" t="s">
        <v>5</v>
      </c>
      <c r="G6" s="16" t="s">
        <v>6</v>
      </c>
      <c r="H6" s="16" t="s">
        <v>7</v>
      </c>
      <c r="I6" s="16" t="s">
        <v>8</v>
      </c>
      <c r="J6" s="16" t="s">
        <v>9</v>
      </c>
      <c r="K6" s="16" t="s">
        <v>10</v>
      </c>
      <c r="L6" s="16" t="s">
        <v>11</v>
      </c>
      <c r="M6" s="16" t="s">
        <v>12</v>
      </c>
    </row>
    <row r="7" spans="2:13" x14ac:dyDescent="0.25">
      <c r="B7" s="17"/>
      <c r="C7" s="23"/>
      <c r="D7" s="23"/>
      <c r="E7" s="24"/>
      <c r="F7" s="3" t="str">
        <f ca="1">IF(E7&lt;&gt;"",INT((TODAY()-E7)/365),"")</f>
        <v/>
      </c>
      <c r="G7" s="3" t="str">
        <f>IF(E7&lt;&gt;"",IF(F7&lt;1,0,IF(F7=1,12,IF(F7=2,14,IF(F7=3,16,IF(F7=4,18,IF(F7=5,20,IF(F7&lt;=10,22,IF(F7&lt;=15,24,IF(F7&lt;=20,26,IF(F7&lt;=25,28,30)))))))))),"")</f>
        <v/>
      </c>
      <c r="H7" s="17"/>
      <c r="I7" s="3" t="str">
        <f>IFERROR(G7-H7,"")</f>
        <v/>
      </c>
      <c r="J7" s="86"/>
      <c r="K7" s="84" t="str">
        <f>IFERROR(J7*G7*VALUE(SUBSTITUTE(MID($K$6,FIND("%",$K$6)-2,3),"%",""))%,"")</f>
        <v/>
      </c>
      <c r="L7" s="85" t="str">
        <f ca="1">IF(E7&lt;&gt;"",DATE(YEAR(TODAY())+IF(DATE(YEAR(TODAY()),MONTH(E7),DAY(E7))&lt;TODAY(),1,0),MONTH(E7),DAY(E7)),"")</f>
        <v/>
      </c>
      <c r="M7" s="3" t="str">
        <f>IF(I7&gt;0,"Pendiente","Al día")</f>
        <v>Pendiente</v>
      </c>
    </row>
    <row r="8" spans="2:13" x14ac:dyDescent="0.25">
      <c r="B8" s="17"/>
      <c r="C8" s="23"/>
      <c r="D8" s="23"/>
      <c r="E8" s="24"/>
      <c r="F8" s="3" t="str">
        <f t="shared" ref="F8:F11" ca="1" si="0">IF(E8&lt;&gt;"",INT((TODAY()-E8)/365),"")</f>
        <v/>
      </c>
      <c r="G8" s="3" t="str">
        <f t="shared" ref="G8:G11" si="1">IF(E8&lt;&gt;"",IF(F8&lt;1,0,IF(F8=1,12,IF(F8=2,14,IF(F8=3,16,IF(F8=4,18,IF(F8=5,20,IF(F8&lt;=10,22,IF(F8&lt;=15,24,IF(F8&lt;=20,26,IF(F8&lt;=25,28,30)))))))))),"")</f>
        <v/>
      </c>
      <c r="H8" s="17"/>
      <c r="I8" s="3" t="str">
        <f t="shared" ref="I8:I11" si="2">IFERROR(G8-H8,"")</f>
        <v/>
      </c>
      <c r="J8" s="86"/>
      <c r="K8" s="84" t="str">
        <f t="shared" ref="K8:K11" si="3">IFERROR(J8*G8*VALUE(SUBSTITUTE(MID($K$6,FIND("%",$K$6)-2,3),"%",""))%,"")</f>
        <v/>
      </c>
      <c r="L8" s="85" t="str">
        <f t="shared" ref="L8:L11" ca="1" si="4">IF(E8&lt;&gt;"",DATE(YEAR(TODAY())+IF(DATE(YEAR(TODAY()),MONTH(E8),DAY(E8))&lt;TODAY(),1,0),MONTH(E8),DAY(E8)),"")</f>
        <v/>
      </c>
      <c r="M8" s="3" t="str">
        <f>IF(I8&gt;0,"Pendiente","Al día")</f>
        <v>Pendiente</v>
      </c>
    </row>
    <row r="9" spans="2:13" x14ac:dyDescent="0.25">
      <c r="B9" s="17"/>
      <c r="C9" s="23"/>
      <c r="D9" s="23"/>
      <c r="E9" s="24"/>
      <c r="F9" s="3" t="str">
        <f t="shared" ca="1" si="0"/>
        <v/>
      </c>
      <c r="G9" s="3" t="str">
        <f t="shared" si="1"/>
        <v/>
      </c>
      <c r="H9" s="17"/>
      <c r="I9" s="3" t="str">
        <f t="shared" si="2"/>
        <v/>
      </c>
      <c r="J9" s="86"/>
      <c r="K9" s="84" t="str">
        <f t="shared" si="3"/>
        <v/>
      </c>
      <c r="L9" s="85" t="str">
        <f t="shared" ca="1" si="4"/>
        <v/>
      </c>
      <c r="M9" s="3" t="str">
        <f>IF(I9&gt;0,"Pendiente","Al día")</f>
        <v>Pendiente</v>
      </c>
    </row>
    <row r="10" spans="2:13" x14ac:dyDescent="0.25">
      <c r="B10" s="17"/>
      <c r="C10" s="23"/>
      <c r="D10" s="23"/>
      <c r="E10" s="24"/>
      <c r="F10" s="3" t="str">
        <f t="shared" ca="1" si="0"/>
        <v/>
      </c>
      <c r="G10" s="3" t="str">
        <f t="shared" si="1"/>
        <v/>
      </c>
      <c r="H10" s="17"/>
      <c r="I10" s="3" t="str">
        <f t="shared" si="2"/>
        <v/>
      </c>
      <c r="J10" s="86"/>
      <c r="K10" s="84" t="str">
        <f t="shared" si="3"/>
        <v/>
      </c>
      <c r="L10" s="85" t="str">
        <f t="shared" ca="1" si="4"/>
        <v/>
      </c>
      <c r="M10" s="3" t="str">
        <f>IF(I10&gt;0,"Pendiente","Al día")</f>
        <v>Pendiente</v>
      </c>
    </row>
    <row r="11" spans="2:13" x14ac:dyDescent="0.25">
      <c r="B11" s="17"/>
      <c r="C11" s="23"/>
      <c r="D11" s="23"/>
      <c r="E11" s="24"/>
      <c r="F11" s="3" t="str">
        <f t="shared" ca="1" si="0"/>
        <v/>
      </c>
      <c r="G11" s="3" t="str">
        <f t="shared" si="1"/>
        <v/>
      </c>
      <c r="H11" s="17"/>
      <c r="I11" s="3" t="str">
        <f t="shared" si="2"/>
        <v/>
      </c>
      <c r="J11" s="86"/>
      <c r="K11" s="84" t="str">
        <f t="shared" si="3"/>
        <v/>
      </c>
      <c r="L11" s="85" t="str">
        <f t="shared" ca="1" si="4"/>
        <v/>
      </c>
      <c r="M11" s="3" t="str">
        <f>IF(I11&gt;0,"Pendiente","Al día")</f>
        <v>Pendiente</v>
      </c>
    </row>
    <row r="13" spans="2:13" ht="15.75" x14ac:dyDescent="0.25">
      <c r="C13" s="13" t="s">
        <v>77</v>
      </c>
      <c r="K13" s="10"/>
    </row>
    <row r="14" spans="2:13" x14ac:dyDescent="0.25">
      <c r="C14" s="14" t="s">
        <v>78</v>
      </c>
      <c r="D14" s="14">
        <f>COUNTA(C7:C11)</f>
        <v>0</v>
      </c>
    </row>
    <row r="15" spans="2:13" x14ac:dyDescent="0.25">
      <c r="C15" s="14" t="s">
        <v>79</v>
      </c>
      <c r="D15" s="14">
        <f>COUNTIF(M7:M11,"Pendiente")</f>
        <v>5</v>
      </c>
    </row>
    <row r="16" spans="2:13" x14ac:dyDescent="0.25">
      <c r="C16" s="14" t="s">
        <v>80</v>
      </c>
      <c r="D16" s="14">
        <f>SUM(I7:I11)</f>
        <v>0</v>
      </c>
    </row>
    <row r="17" spans="3:4" x14ac:dyDescent="0.25">
      <c r="C17" s="14" t="s">
        <v>81</v>
      </c>
      <c r="D17" s="15">
        <f>SUM(K7:K11)</f>
        <v>0</v>
      </c>
    </row>
  </sheetData>
  <mergeCells count="1">
    <mergeCell ref="B3:E3"/>
  </mergeCells>
  <conditionalFormatting sqref="M7:M11">
    <cfRule type="containsText" dxfId="14" priority="3" operator="containsText" text="Pendiente">
      <formula>NOT(ISERROR(SEARCH("Pendiente",M7)))</formula>
    </cfRule>
    <cfRule type="containsText" dxfId="13" priority="4" operator="containsText" text="Al día">
      <formula>NOT(ISERROR(SEARCH("Al día",M7)))</formula>
    </cfRule>
  </conditionalFormatting>
  <dataValidations count="2">
    <dataValidation type="custom" allowBlank="1" showInputMessage="1" showErrorMessage="1" errorTitle="Nomina" error="No a capturado la contraseña en la hoja de portada" sqref="B7:E11" xr:uid="{BDE383E7-C487-421E-84F0-7D3D49BA51C3}">
      <formula1>IF(COMPA=TRUE,1,0)</formula1>
    </dataValidation>
    <dataValidation type="custom" allowBlank="1" showInputMessage="1" showErrorMessage="1" errorTitle="Nómina" error="No a capturado la clave en la hoja de portada" sqref="H7:H11 J7:J11" xr:uid="{CD94550F-380D-4E26-835A-1FEDD361E536}">
      <formula1>IF(COMPA=TRUE,1,0)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EF9DF-FA36-4D72-A8F2-ED33102E7D7B}">
  <sheetPr codeName="Hoja2"/>
  <dimension ref="B3:R30"/>
  <sheetViews>
    <sheetView showGridLines="0" workbookViewId="0">
      <selection activeCell="P16" sqref="P16"/>
    </sheetView>
  </sheetViews>
  <sheetFormatPr baseColWidth="10" defaultRowHeight="15" x14ac:dyDescent="0.25"/>
  <cols>
    <col min="1" max="1" width="6.140625" customWidth="1"/>
    <col min="2" max="2" width="6.7109375" customWidth="1"/>
    <col min="3" max="3" width="32.42578125" customWidth="1"/>
    <col min="5" max="5" width="12.5703125" customWidth="1"/>
    <col min="6" max="7" width="14.28515625" customWidth="1"/>
    <col min="8" max="8" width="16.28515625" customWidth="1"/>
    <col min="9" max="14" width="4.28515625" customWidth="1"/>
    <col min="15" max="15" width="15.42578125" customWidth="1"/>
    <col min="16" max="16" width="15.7109375" customWidth="1"/>
    <col min="17" max="17" width="22.5703125" customWidth="1"/>
    <col min="18" max="18" width="17" customWidth="1"/>
  </cols>
  <sheetData>
    <row r="3" spans="2:18" ht="21" x14ac:dyDescent="0.35">
      <c r="B3" s="264" t="s">
        <v>16</v>
      </c>
      <c r="C3" s="264"/>
      <c r="D3" s="264"/>
      <c r="E3" s="264"/>
      <c r="F3" s="264"/>
      <c r="G3" s="264"/>
      <c r="H3" s="264"/>
      <c r="I3" s="264"/>
      <c r="J3" s="264"/>
      <c r="K3" s="264"/>
      <c r="L3" s="264"/>
      <c r="M3" s="264"/>
      <c r="N3" s="264"/>
    </row>
    <row r="4" spans="2:18" x14ac:dyDescent="0.25">
      <c r="B4" s="263" t="s">
        <v>17</v>
      </c>
      <c r="C4" s="263"/>
      <c r="D4" s="263"/>
      <c r="E4" s="263"/>
      <c r="F4" s="263"/>
      <c r="G4" s="263"/>
      <c r="H4" s="263"/>
      <c r="I4" s="263"/>
      <c r="J4" s="263"/>
      <c r="K4" s="263"/>
      <c r="L4" s="263"/>
      <c r="M4" s="263"/>
      <c r="N4" s="263"/>
    </row>
    <row r="6" spans="2:18" x14ac:dyDescent="0.25">
      <c r="C6" t="s">
        <v>89</v>
      </c>
      <c r="D6" s="19">
        <v>9</v>
      </c>
    </row>
    <row r="7" spans="2:18" x14ac:dyDescent="0.25">
      <c r="I7" s="265" t="s">
        <v>98</v>
      </c>
      <c r="J7" s="265"/>
      <c r="K7" s="265"/>
      <c r="L7" s="265"/>
      <c r="M7" s="265"/>
      <c r="N7" s="265"/>
    </row>
    <row r="8" spans="2:18" ht="39.950000000000003" customHeight="1" x14ac:dyDescent="0.25">
      <c r="B8" s="20" t="s">
        <v>1</v>
      </c>
      <c r="C8" s="20" t="s">
        <v>2</v>
      </c>
      <c r="D8" s="20" t="s">
        <v>18</v>
      </c>
      <c r="E8" s="20" t="s">
        <v>19</v>
      </c>
      <c r="F8" s="20" t="s">
        <v>20</v>
      </c>
      <c r="G8" s="20" t="s">
        <v>97</v>
      </c>
      <c r="H8" s="20" t="s">
        <v>21</v>
      </c>
      <c r="I8" s="21" t="s">
        <v>90</v>
      </c>
      <c r="J8" s="21" t="s">
        <v>91</v>
      </c>
      <c r="K8" s="21" t="s">
        <v>91</v>
      </c>
      <c r="L8" s="21" t="s">
        <v>92</v>
      </c>
      <c r="M8" s="21" t="s">
        <v>93</v>
      </c>
      <c r="N8" s="21" t="s">
        <v>94</v>
      </c>
      <c r="O8" s="20" t="s">
        <v>22</v>
      </c>
      <c r="P8" s="20" t="s">
        <v>23</v>
      </c>
      <c r="Q8" s="20" t="s">
        <v>24</v>
      </c>
      <c r="R8" s="25" t="s">
        <v>25</v>
      </c>
    </row>
    <row r="9" spans="2:18" x14ac:dyDescent="0.25">
      <c r="B9" s="17">
        <v>1</v>
      </c>
      <c r="C9" s="23"/>
      <c r="D9" s="17"/>
      <c r="E9" s="24"/>
      <c r="F9" s="24"/>
      <c r="G9" s="24"/>
      <c r="H9" s="17"/>
      <c r="I9" s="17"/>
      <c r="J9" s="17"/>
      <c r="K9" s="17"/>
      <c r="L9" s="17"/>
      <c r="M9" s="17"/>
      <c r="N9" s="17"/>
      <c r="O9" s="3">
        <f>IFERROR(SUM(H9:N9),"")</f>
        <v>0</v>
      </c>
      <c r="P9" s="3" t="str">
        <f>IF(MAX(0,O9-H9)=0,"",MAX(0,O9-H9))</f>
        <v/>
      </c>
      <c r="Q9" s="3">
        <f>IF((IF(AND(COUNT(I9)&gt;0,COUNT(I9)&lt;=4),IF(I9&gt;4,4,I9),0)+IF(AND(COUNT(I9:J9)&gt;0,COUNT(I9:J9)&lt;=4),IF(J9&gt;4,4,J9),0)+IF(AND(COUNT(I9:K9)&gt;0,COUNT(I9:K9)&lt;=4),IF(K9&gt;4,4,K9),0)+IF(AND(COUNT(I9:L9)&gt;0,COUNT(I9:L9)&lt;=4),IF(L9&gt;4,4,L9),0)+IF(AND(COUNT(I9:M9)&gt;0,COUNT(I9:M9)&lt;=4),IF(M9&gt;4,4,M9),0)+IF(AND(COUNT(I9:N9)&gt;0,COUNT(I9:N9)&lt;=4),IF(N9&gt;4,4,N9),0))&gt;9,9,IF(AND(COUNT(I9)&gt;0,COUNT(I9)&lt;=4),IF(I9&gt;4,4,I9),0)+IF(AND(COUNT(I9:J9)&gt;0,COUNT(I9:J9)&lt;=4),IF(J9&gt;4,4,J9),0)+IF(AND(COUNT(I9:K9)&gt;0,COUNT(I9:K9)&lt;=4),IF(K9&gt;4,4,K9),0)+IF(AND(COUNT(I9:L9)&gt;0,COUNT(I9:L9)&lt;=4),IF(L9&gt;4,4,L9),0)+IF(AND(COUNT(I9:M9)&gt;0,COUNT(I9:M9)&lt;=4),IF(M9&gt;4,4,M9),0)+IF(AND(COUNT(I9:N9)&gt;0,COUNT(I9:N9)&lt;=4),IF(N9&gt;4,4,N9),0))</f>
        <v>0</v>
      </c>
      <c r="R9" s="3">
        <f>IFERROR(IF(P9&gt;=Q9,P9-Q9,""),0)</f>
        <v>0</v>
      </c>
    </row>
    <row r="10" spans="2:18" x14ac:dyDescent="0.25">
      <c r="B10" s="17">
        <v>2</v>
      </c>
      <c r="C10" s="23"/>
      <c r="D10" s="17"/>
      <c r="E10" s="24"/>
      <c r="F10" s="24"/>
      <c r="G10" s="24"/>
      <c r="H10" s="17"/>
      <c r="I10" s="17"/>
      <c r="J10" s="17"/>
      <c r="K10" s="17"/>
      <c r="L10" s="17"/>
      <c r="M10" s="17"/>
      <c r="N10" s="17"/>
      <c r="O10" s="3">
        <f t="shared" ref="O10:O13" si="0">IFERROR(SUM(H10:N10),"")</f>
        <v>0</v>
      </c>
      <c r="P10" s="3" t="str">
        <f t="shared" ref="P10:P13" si="1">IF(MAX(0,O10-H10)=0,"",MAX(0,O10-H10))</f>
        <v/>
      </c>
      <c r="Q10" s="3">
        <f t="shared" ref="Q10:Q13" si="2">IF((IF(AND(COUNT(I10)&gt;0,COUNT(I10)&lt;=4),IF(I10&gt;4,4,I10),0)+IF(AND(COUNT(I10:J10)&gt;0,COUNT(I10:J10)&lt;=4),IF(J10&gt;4,4,J10),0)+IF(AND(COUNT(I10:K10)&gt;0,COUNT(I10:K10)&lt;=4),IF(K10&gt;4,4,K10),0)+IF(AND(COUNT(I10:L10)&gt;0,COUNT(I10:L10)&lt;=4),IF(L10&gt;4,4,L10),0)+IF(AND(COUNT(I10:M10)&gt;0,COUNT(I10:M10)&lt;=4),IF(M10&gt;4,4,M10),0)+IF(AND(COUNT(I10:N10)&gt;0,COUNT(I10:N10)&lt;=4),IF(N10&gt;4,4,N10),0))&gt;9,9,IF(AND(COUNT(I10)&gt;0,COUNT(I10)&lt;=4),IF(I10&gt;4,4,I10),0)+IF(AND(COUNT(I10:J10)&gt;0,COUNT(I10:J10)&lt;=4),IF(J10&gt;4,4,J10),0)+IF(AND(COUNT(I10:K10)&gt;0,COUNT(I10:K10)&lt;=4),IF(K10&gt;4,4,K10),0)+IF(AND(COUNT(I10:L10)&gt;0,COUNT(I10:L10)&lt;=4),IF(L10&gt;4,4,L10),0)+IF(AND(COUNT(I10:M10)&gt;0,COUNT(I10:M10)&lt;=4),IF(M10&gt;4,4,M10),0)+IF(AND(COUNT(I10:N10)&gt;0,COUNT(I10:N10)&lt;=4),IF(N10&gt;4,4,N10),0))</f>
        <v>0</v>
      </c>
      <c r="R10" s="3">
        <f t="shared" ref="R10:R13" si="3">IFERROR(IF(P10&gt;=Q10,P10-Q10,""),0)</f>
        <v>0</v>
      </c>
    </row>
    <row r="11" spans="2:18" x14ac:dyDescent="0.25">
      <c r="B11" s="17">
        <v>3</v>
      </c>
      <c r="C11" s="23"/>
      <c r="D11" s="17"/>
      <c r="E11" s="24"/>
      <c r="F11" s="24"/>
      <c r="G11" s="24"/>
      <c r="H11" s="17"/>
      <c r="I11" s="17"/>
      <c r="J11" s="17"/>
      <c r="K11" s="17"/>
      <c r="L11" s="17"/>
      <c r="M11" s="17"/>
      <c r="N11" s="17"/>
      <c r="O11" s="3">
        <f t="shared" si="0"/>
        <v>0</v>
      </c>
      <c r="P11" s="3" t="str">
        <f t="shared" si="1"/>
        <v/>
      </c>
      <c r="Q11" s="3">
        <f t="shared" si="2"/>
        <v>0</v>
      </c>
      <c r="R11" s="3">
        <f t="shared" si="3"/>
        <v>0</v>
      </c>
    </row>
    <row r="12" spans="2:18" x14ac:dyDescent="0.25">
      <c r="B12" s="17">
        <v>4</v>
      </c>
      <c r="C12" s="23"/>
      <c r="D12" s="17"/>
      <c r="E12" s="24"/>
      <c r="F12" s="24"/>
      <c r="G12" s="24"/>
      <c r="H12" s="17"/>
      <c r="I12" s="17"/>
      <c r="J12" s="17"/>
      <c r="K12" s="17"/>
      <c r="L12" s="17"/>
      <c r="M12" s="17"/>
      <c r="N12" s="17"/>
      <c r="O12" s="3">
        <f t="shared" si="0"/>
        <v>0</v>
      </c>
      <c r="P12" s="3" t="str">
        <f t="shared" si="1"/>
        <v/>
      </c>
      <c r="Q12" s="3">
        <f t="shared" si="2"/>
        <v>0</v>
      </c>
      <c r="R12" s="3">
        <f t="shared" si="3"/>
        <v>0</v>
      </c>
    </row>
    <row r="13" spans="2:18" x14ac:dyDescent="0.25">
      <c r="B13" s="17">
        <v>5</v>
      </c>
      <c r="C13" s="23"/>
      <c r="D13" s="17"/>
      <c r="E13" s="24"/>
      <c r="F13" s="24"/>
      <c r="G13" s="24"/>
      <c r="H13" s="17"/>
      <c r="I13" s="17"/>
      <c r="J13" s="17"/>
      <c r="K13" s="17"/>
      <c r="L13" s="17"/>
      <c r="M13" s="17"/>
      <c r="N13" s="17"/>
      <c r="O13" s="3">
        <f t="shared" si="0"/>
        <v>0</v>
      </c>
      <c r="P13" s="3" t="str">
        <f t="shared" si="1"/>
        <v/>
      </c>
      <c r="Q13" s="3">
        <f t="shared" si="2"/>
        <v>0</v>
      </c>
      <c r="R13" s="3">
        <f t="shared" si="3"/>
        <v>0</v>
      </c>
    </row>
    <row r="14" spans="2:18" ht="15.75" thickBot="1" x14ac:dyDescent="0.3"/>
    <row r="15" spans="2:18" ht="15.75" thickTop="1" x14ac:dyDescent="0.25">
      <c r="O15" s="11" t="s">
        <v>76</v>
      </c>
      <c r="P15" s="12">
        <f>SUM(P9:P13)</f>
        <v>0</v>
      </c>
      <c r="Q15" s="12">
        <f>SUM(Q9:Q13)</f>
        <v>0</v>
      </c>
      <c r="R15" s="12">
        <f>SUM(R9:R13)</f>
        <v>0</v>
      </c>
    </row>
    <row r="18" spans="2:15" x14ac:dyDescent="0.25">
      <c r="B18" s="261" t="s">
        <v>95</v>
      </c>
      <c r="C18" s="262"/>
      <c r="D18" s="262"/>
      <c r="E18" s="262"/>
      <c r="F18" s="262"/>
      <c r="G18" s="262"/>
      <c r="H18" s="262"/>
      <c r="I18" s="262"/>
      <c r="J18" s="262"/>
      <c r="K18" s="262"/>
      <c r="L18" s="262"/>
      <c r="M18" s="262"/>
      <c r="N18" s="262"/>
      <c r="O18" s="262"/>
    </row>
    <row r="19" spans="2:15" x14ac:dyDescent="0.25">
      <c r="B19" s="262"/>
      <c r="C19" s="262"/>
      <c r="D19" s="262"/>
      <c r="E19" s="262"/>
      <c r="F19" s="262"/>
      <c r="G19" s="262"/>
      <c r="H19" s="262"/>
      <c r="I19" s="262"/>
      <c r="J19" s="262"/>
      <c r="K19" s="262"/>
      <c r="L19" s="262"/>
      <c r="M19" s="262"/>
      <c r="N19" s="262"/>
      <c r="O19" s="262"/>
    </row>
    <row r="20" spans="2:15" x14ac:dyDescent="0.25">
      <c r="B20" s="262"/>
      <c r="C20" s="262"/>
      <c r="D20" s="262"/>
      <c r="E20" s="262"/>
      <c r="F20" s="262"/>
      <c r="G20" s="262"/>
      <c r="H20" s="262"/>
      <c r="I20" s="262"/>
      <c r="J20" s="262"/>
      <c r="K20" s="262"/>
      <c r="L20" s="262"/>
      <c r="M20" s="262"/>
      <c r="N20" s="262"/>
      <c r="O20" s="262"/>
    </row>
    <row r="21" spans="2:15" x14ac:dyDescent="0.25">
      <c r="B21" s="262"/>
      <c r="C21" s="262"/>
      <c r="D21" s="262"/>
      <c r="E21" s="262"/>
      <c r="F21" s="262"/>
      <c r="G21" s="262"/>
      <c r="H21" s="262"/>
      <c r="I21" s="262"/>
      <c r="J21" s="262"/>
      <c r="K21" s="262"/>
      <c r="L21" s="262"/>
      <c r="M21" s="262"/>
      <c r="N21" s="262"/>
      <c r="O21" s="262"/>
    </row>
    <row r="22" spans="2:15" x14ac:dyDescent="0.25">
      <c r="B22" s="262"/>
      <c r="C22" s="262"/>
      <c r="D22" s="262"/>
      <c r="E22" s="262"/>
      <c r="F22" s="262"/>
      <c r="G22" s="262"/>
      <c r="H22" s="262"/>
      <c r="I22" s="262"/>
      <c r="J22" s="262"/>
      <c r="K22" s="262"/>
      <c r="L22" s="262"/>
      <c r="M22" s="262"/>
      <c r="N22" s="262"/>
      <c r="O22" s="262"/>
    </row>
    <row r="24" spans="2:15" x14ac:dyDescent="0.25">
      <c r="B24" s="261" t="s">
        <v>96</v>
      </c>
      <c r="C24" s="262"/>
      <c r="D24" s="262"/>
      <c r="E24" s="262"/>
      <c r="F24" s="262"/>
      <c r="G24" s="262"/>
      <c r="H24" s="262"/>
      <c r="I24" s="262"/>
      <c r="J24" s="262"/>
      <c r="K24" s="262"/>
      <c r="L24" s="262"/>
      <c r="M24" s="262"/>
      <c r="N24" s="262"/>
      <c r="O24" s="262"/>
    </row>
    <row r="25" spans="2:15" x14ac:dyDescent="0.25">
      <c r="B25" s="262"/>
      <c r="C25" s="262"/>
      <c r="D25" s="262"/>
      <c r="E25" s="262"/>
      <c r="F25" s="262"/>
      <c r="G25" s="262"/>
      <c r="H25" s="262"/>
      <c r="I25" s="262"/>
      <c r="J25" s="262"/>
      <c r="K25" s="262"/>
      <c r="L25" s="262"/>
      <c r="M25" s="262"/>
      <c r="N25" s="262"/>
      <c r="O25" s="262"/>
    </row>
    <row r="26" spans="2:15" x14ac:dyDescent="0.25">
      <c r="B26" s="262"/>
      <c r="C26" s="262"/>
      <c r="D26" s="262"/>
      <c r="E26" s="262"/>
      <c r="F26" s="262"/>
      <c r="G26" s="262"/>
      <c r="H26" s="262"/>
      <c r="I26" s="262"/>
      <c r="J26" s="262"/>
      <c r="K26" s="262"/>
      <c r="L26" s="262"/>
      <c r="M26" s="262"/>
      <c r="N26" s="262"/>
      <c r="O26" s="262"/>
    </row>
    <row r="27" spans="2:15" x14ac:dyDescent="0.25">
      <c r="B27" s="262"/>
      <c r="C27" s="262"/>
      <c r="D27" s="262"/>
      <c r="E27" s="262"/>
      <c r="F27" s="262"/>
      <c r="G27" s="262"/>
      <c r="H27" s="262"/>
      <c r="I27" s="262"/>
      <c r="J27" s="262"/>
      <c r="K27" s="262"/>
      <c r="L27" s="262"/>
      <c r="M27" s="262"/>
      <c r="N27" s="262"/>
      <c r="O27" s="262"/>
    </row>
    <row r="28" spans="2:15" x14ac:dyDescent="0.25">
      <c r="B28" s="262"/>
      <c r="C28" s="262"/>
      <c r="D28" s="262"/>
      <c r="E28" s="262"/>
      <c r="F28" s="262"/>
      <c r="G28" s="262"/>
      <c r="H28" s="262"/>
      <c r="I28" s="262"/>
      <c r="J28" s="262"/>
      <c r="K28" s="262"/>
      <c r="L28" s="262"/>
      <c r="M28" s="262"/>
      <c r="N28" s="262"/>
      <c r="O28" s="262"/>
    </row>
    <row r="29" spans="2:15" x14ac:dyDescent="0.25">
      <c r="B29" s="262"/>
      <c r="C29" s="262"/>
      <c r="D29" s="262"/>
      <c r="E29" s="262"/>
      <c r="F29" s="262"/>
      <c r="G29" s="262"/>
      <c r="H29" s="262"/>
      <c r="I29" s="262"/>
      <c r="J29" s="262"/>
      <c r="K29" s="262"/>
      <c r="L29" s="262"/>
      <c r="M29" s="262"/>
      <c r="N29" s="262"/>
      <c r="O29" s="262"/>
    </row>
    <row r="30" spans="2:15" x14ac:dyDescent="0.25">
      <c r="B30" s="262"/>
      <c r="C30" s="262"/>
      <c r="D30" s="262"/>
      <c r="E30" s="262"/>
      <c r="F30" s="262"/>
      <c r="G30" s="262"/>
      <c r="H30" s="262"/>
      <c r="I30" s="262"/>
      <c r="J30" s="262"/>
      <c r="K30" s="262"/>
      <c r="L30" s="262"/>
      <c r="M30" s="262"/>
      <c r="N30" s="262"/>
      <c r="O30" s="262"/>
    </row>
  </sheetData>
  <mergeCells count="5">
    <mergeCell ref="B18:O22"/>
    <mergeCell ref="B24:O30"/>
    <mergeCell ref="B4:N4"/>
    <mergeCell ref="B3:N3"/>
    <mergeCell ref="I7:N7"/>
  </mergeCells>
  <conditionalFormatting sqref="O9:O13">
    <cfRule type="cellIs" dxfId="12" priority="1" operator="equal">
      <formula>0</formula>
    </cfRule>
  </conditionalFormatting>
  <conditionalFormatting sqref="Q9:R13">
    <cfRule type="cellIs" dxfId="11" priority="2" operator="equal">
      <formula>0</formula>
    </cfRule>
  </conditionalFormatting>
  <conditionalFormatting sqref="R15">
    <cfRule type="cellIs" dxfId="10" priority="4" operator="greaterThan">
      <formula>0</formula>
    </cfRule>
  </conditionalFormatting>
  <dataValidations count="3">
    <dataValidation type="list" allowBlank="1" showInputMessage="1" showErrorMessage="1" errorTitle="Tiempo extra" error="Solo se permiten datos de la lista" sqref="G9:G13" xr:uid="{FDE39DBD-8237-49F7-8CD3-040E3414A0CB}">
      <formula1>"Diurna,Nocturna,Mixta"</formula1>
    </dataValidation>
    <dataValidation type="custom" allowBlank="1" showInputMessage="1" showErrorMessage="1" errorTitle="Nomina" error="No a capturado la contraseña en la hoja de portada" sqref="C9:C13 E9:F13" xr:uid="{F5CB6FBC-A350-4CA4-9F76-99C828D706CC}">
      <formula1>IF(COMPA=TRUE,1,0)</formula1>
    </dataValidation>
    <dataValidation type="custom" allowBlank="1" showInputMessage="1" showErrorMessage="1" errorTitle="Nómina" error="No a capturado la clave en la hoja de portada" sqref="D9:D13 H9:N13" xr:uid="{DEDE5FF7-E1FC-42F8-939D-A44A4FAFFC35}">
      <formula1>IF(COMPA=TRUE,1,0)</formula1>
    </dataValidation>
  </dataValidations>
  <pageMargins left="0.7" right="0.7" top="0.75" bottom="0.75" header="0.3" footer="0.3"/>
  <ignoredErrors>
    <ignoredError sqref="O9 O10:O13 Q10 Q11:Q13" formulaRange="1"/>
  </ignoredError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3D31F-2E6F-45F4-943A-FBD210FD207D}">
  <sheetPr codeName="Hoja24"/>
  <dimension ref="B3:H31"/>
  <sheetViews>
    <sheetView showGridLines="0" zoomScale="120" zoomScaleNormal="120" workbookViewId="0">
      <selection activeCell="D16" sqref="D16"/>
    </sheetView>
  </sheetViews>
  <sheetFormatPr baseColWidth="10" defaultRowHeight="15" x14ac:dyDescent="0.25"/>
  <cols>
    <col min="2" max="2" width="19.140625" customWidth="1"/>
    <col min="3" max="3" width="41.7109375" customWidth="1"/>
    <col min="4" max="4" width="23.140625" customWidth="1"/>
    <col min="5" max="5" width="23.42578125" customWidth="1"/>
    <col min="6" max="6" width="25.42578125" customWidth="1"/>
  </cols>
  <sheetData>
    <row r="3" spans="2:8" x14ac:dyDescent="0.25">
      <c r="B3" s="256"/>
      <c r="C3" s="256"/>
      <c r="D3" s="256"/>
      <c r="E3" s="256"/>
      <c r="F3" s="256"/>
      <c r="G3" s="256"/>
      <c r="H3" s="256"/>
    </row>
    <row r="4" spans="2:8" x14ac:dyDescent="0.25">
      <c r="B4" s="267" t="s">
        <v>150</v>
      </c>
      <c r="C4" s="267"/>
      <c r="D4" s="267"/>
      <c r="E4" s="267"/>
      <c r="F4" s="34" t="s">
        <v>56</v>
      </c>
    </row>
    <row r="5" spans="2:8" ht="115.5" customHeight="1" x14ac:dyDescent="0.25">
      <c r="B5" s="35" t="s">
        <v>151</v>
      </c>
      <c r="C5" s="268" t="s">
        <v>152</v>
      </c>
      <c r="D5" s="269"/>
      <c r="E5" s="269"/>
      <c r="F5" s="36" t="s">
        <v>153</v>
      </c>
    </row>
    <row r="6" spans="2:8" ht="72" customHeight="1" x14ac:dyDescent="0.25">
      <c r="B6" s="35" t="s">
        <v>154</v>
      </c>
      <c r="C6" s="268" t="s">
        <v>155</v>
      </c>
      <c r="D6" s="269"/>
      <c r="E6" s="269"/>
      <c r="F6" s="36" t="s">
        <v>156</v>
      </c>
    </row>
    <row r="7" spans="2:8" ht="59.25" customHeight="1" x14ac:dyDescent="0.25">
      <c r="B7" s="35" t="s">
        <v>157</v>
      </c>
      <c r="C7" s="268" t="s">
        <v>158</v>
      </c>
      <c r="D7" s="269"/>
      <c r="E7" s="269"/>
      <c r="F7" s="36" t="s">
        <v>159</v>
      </c>
    </row>
    <row r="8" spans="2:8" ht="176.25" customHeight="1" x14ac:dyDescent="0.25">
      <c r="B8" s="266" t="s">
        <v>160</v>
      </c>
      <c r="C8" s="270"/>
      <c r="D8" s="270"/>
      <c r="E8" s="270"/>
      <c r="F8" s="36" t="s">
        <v>161</v>
      </c>
    </row>
    <row r="9" spans="2:8" ht="41.25" customHeight="1" x14ac:dyDescent="0.25">
      <c r="B9" s="35" t="s">
        <v>162</v>
      </c>
      <c r="C9" s="266" t="s">
        <v>163</v>
      </c>
      <c r="D9" s="266"/>
      <c r="E9" s="266"/>
      <c r="F9" s="36" t="s">
        <v>164</v>
      </c>
    </row>
    <row r="10" spans="2:8" ht="55.5" customHeight="1" x14ac:dyDescent="0.25">
      <c r="B10" s="35" t="s">
        <v>165</v>
      </c>
      <c r="C10" s="266" t="s">
        <v>166</v>
      </c>
      <c r="D10" s="266"/>
      <c r="E10" s="266"/>
      <c r="F10" s="37" t="s">
        <v>167</v>
      </c>
    </row>
    <row r="12" spans="2:8" x14ac:dyDescent="0.25">
      <c r="C12" s="38" t="s">
        <v>168</v>
      </c>
      <c r="D12" s="24"/>
    </row>
    <row r="13" spans="2:8" x14ac:dyDescent="0.25">
      <c r="C13" s="38" t="s">
        <v>169</v>
      </c>
      <c r="D13" s="24"/>
    </row>
    <row r="14" spans="2:8" ht="30" x14ac:dyDescent="0.25">
      <c r="C14" s="39" t="s">
        <v>170</v>
      </c>
      <c r="D14" s="87"/>
    </row>
    <row r="15" spans="2:8" x14ac:dyDescent="0.25">
      <c r="C15" s="38" t="s">
        <v>171</v>
      </c>
      <c r="D15" s="82"/>
    </row>
    <row r="16" spans="2:8" x14ac:dyDescent="0.25">
      <c r="C16" s="38" t="s">
        <v>172</v>
      </c>
      <c r="D16" s="82"/>
    </row>
    <row r="17" spans="3:4" x14ac:dyDescent="0.25">
      <c r="C17" s="38" t="s">
        <v>173</v>
      </c>
      <c r="D17" s="82"/>
    </row>
    <row r="19" spans="3:4" x14ac:dyDescent="0.25">
      <c r="C19" s="38" t="s">
        <v>174</v>
      </c>
      <c r="D19" t="str">
        <f>IF(D16&lt;&gt;"",D16,"")</f>
        <v/>
      </c>
    </row>
    <row r="20" spans="3:4" x14ac:dyDescent="0.25">
      <c r="C20" t="s">
        <v>175</v>
      </c>
      <c r="D20">
        <v>365</v>
      </c>
    </row>
    <row r="21" spans="3:4" x14ac:dyDescent="0.25">
      <c r="C21" s="38" t="s">
        <v>176</v>
      </c>
      <c r="D21" t="str">
        <f>IFERROR(ROUND(D19/D20,4),"")</f>
        <v/>
      </c>
    </row>
    <row r="23" spans="3:4" x14ac:dyDescent="0.25">
      <c r="C23" t="s">
        <v>177</v>
      </c>
      <c r="D23" t="str">
        <f>IFERROR(IF(AND(D12&lt;&gt;"",D13&lt;&gt;""),DATEDIF(IF(YEAR(D12)&lt;YEAR(D13),DATE(YEAR(D13),1,1),D12),D13,"d")+1,""),"")</f>
        <v/>
      </c>
    </row>
    <row r="24" spans="3:4" x14ac:dyDescent="0.25">
      <c r="C24" t="s">
        <v>178</v>
      </c>
      <c r="D24" s="40">
        <f>D14</f>
        <v>0</v>
      </c>
    </row>
    <row r="25" spans="3:4" x14ac:dyDescent="0.25">
      <c r="C25" s="38" t="s">
        <v>179</v>
      </c>
      <c r="D25" s="38" t="str">
        <f>IFERROR(D23-D24,"")</f>
        <v/>
      </c>
    </row>
    <row r="26" spans="3:4" x14ac:dyDescent="0.25">
      <c r="C26" t="s">
        <v>180</v>
      </c>
      <c r="D26" t="str">
        <f>D21</f>
        <v/>
      </c>
    </row>
    <row r="27" spans="3:4" x14ac:dyDescent="0.25">
      <c r="C27" t="s">
        <v>181</v>
      </c>
      <c r="D27" t="str">
        <f>IFERROR(ROUND(D25*D26,2),"")</f>
        <v/>
      </c>
    </row>
    <row r="28" spans="3:4" x14ac:dyDescent="0.25">
      <c r="C28" t="s">
        <v>182</v>
      </c>
      <c r="D28" s="41">
        <f>D15</f>
        <v>0</v>
      </c>
    </row>
    <row r="29" spans="3:4" x14ac:dyDescent="0.25">
      <c r="C29" s="38" t="s">
        <v>183</v>
      </c>
      <c r="D29" s="42" t="str">
        <f>IFERROR(ROUND(D27*D28,2),"")</f>
        <v/>
      </c>
    </row>
    <row r="30" spans="3:4" x14ac:dyDescent="0.25">
      <c r="C30" t="s">
        <v>184</v>
      </c>
      <c r="D30" s="43" t="str">
        <f>IFERROR(IF(D29&lt;&gt;"",IF(D29&gt;=ROUND(D17*15,2),ROUND(D17*15,2),D29),""),"")</f>
        <v/>
      </c>
    </row>
    <row r="31" spans="3:4" x14ac:dyDescent="0.25">
      <c r="C31" s="44" t="s">
        <v>185</v>
      </c>
      <c r="D31" s="45" t="str">
        <f>IFERROR(D29-D30,"")</f>
        <v/>
      </c>
    </row>
  </sheetData>
  <sheetProtection formatCells="0" formatColumns="0" formatRows="0" selectLockedCells="1" sort="0" autoFilter="0"/>
  <mergeCells count="8">
    <mergeCell ref="C9:E9"/>
    <mergeCell ref="C10:E10"/>
    <mergeCell ref="B3:H3"/>
    <mergeCell ref="B4:E4"/>
    <mergeCell ref="C5:E5"/>
    <mergeCell ref="C6:E6"/>
    <mergeCell ref="C7:E7"/>
    <mergeCell ref="B8:E8"/>
  </mergeCells>
  <dataValidations count="1">
    <dataValidation type="custom" allowBlank="1" showInputMessage="1" showErrorMessage="1" errorTitle="Nomina" error="No a capturado la contraseña en la hoja de portada" sqref="D12:D17" xr:uid="{AD688A5E-F990-4839-A874-E30FA191CFDD}">
      <formula1>IF(COMPA=TRUE,1,0)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CEEFE-21C6-490F-A06D-515EC2C641FE}">
  <sheetPr codeName="Hoja25"/>
  <dimension ref="B3:G71"/>
  <sheetViews>
    <sheetView showGridLines="0" zoomScale="110" zoomScaleNormal="110" workbookViewId="0">
      <selection activeCell="D3" sqref="D3"/>
    </sheetView>
  </sheetViews>
  <sheetFormatPr baseColWidth="10" defaultRowHeight="15" x14ac:dyDescent="0.25"/>
  <cols>
    <col min="1" max="1" width="11.42578125" style="51"/>
    <col min="2" max="2" width="21.7109375" style="51" customWidth="1"/>
    <col min="3" max="3" width="52.5703125" style="51" customWidth="1"/>
    <col min="4" max="4" width="12.7109375" style="51" customWidth="1"/>
    <col min="5" max="16384" width="11.42578125" style="51"/>
  </cols>
  <sheetData>
    <row r="3" spans="2:7" ht="17.25" x14ac:dyDescent="0.3">
      <c r="B3" s="271" t="s">
        <v>204</v>
      </c>
      <c r="C3" s="271"/>
      <c r="D3" s="226"/>
      <c r="G3"/>
    </row>
    <row r="5" spans="2:7" x14ac:dyDescent="0.25">
      <c r="B5" s="52" t="s">
        <v>205</v>
      </c>
    </row>
    <row r="8" spans="2:7" ht="15.75" thickBot="1" x14ac:dyDescent="0.3">
      <c r="B8" s="53" t="s">
        <v>206</v>
      </c>
      <c r="D8" s="272" t="s">
        <v>207</v>
      </c>
      <c r="E8" s="272"/>
    </row>
    <row r="9" spans="2:7" x14ac:dyDescent="0.25">
      <c r="B9" s="54" t="s">
        <v>100</v>
      </c>
      <c r="C9" s="55" t="s">
        <v>101</v>
      </c>
      <c r="D9" s="56" t="s">
        <v>208</v>
      </c>
      <c r="E9" s="57" t="s">
        <v>209</v>
      </c>
      <c r="F9" s="58" t="s">
        <v>208</v>
      </c>
      <c r="G9" s="59" t="s">
        <v>209</v>
      </c>
    </row>
    <row r="10" spans="2:7" x14ac:dyDescent="0.25">
      <c r="B10" s="60">
        <v>2</v>
      </c>
      <c r="C10" s="61" t="s">
        <v>103</v>
      </c>
      <c r="D10" s="62" t="s">
        <v>210</v>
      </c>
      <c r="E10" s="62" t="s">
        <v>210</v>
      </c>
      <c r="F10" s="88"/>
      <c r="G10" s="88"/>
    </row>
    <row r="11" spans="2:7" ht="28.5" x14ac:dyDescent="0.25">
      <c r="B11" s="60">
        <v>3</v>
      </c>
      <c r="C11" s="61" t="s">
        <v>104</v>
      </c>
      <c r="D11" s="62" t="s">
        <v>210</v>
      </c>
      <c r="E11" s="62" t="s">
        <v>210</v>
      </c>
      <c r="F11" s="88"/>
      <c r="G11" s="88"/>
    </row>
    <row r="12" spans="2:7" x14ac:dyDescent="0.25">
      <c r="B12" s="60">
        <v>20</v>
      </c>
      <c r="C12" s="61" t="s">
        <v>116</v>
      </c>
      <c r="D12" s="62" t="s">
        <v>210</v>
      </c>
      <c r="E12" s="62" t="s">
        <v>210</v>
      </c>
      <c r="F12" s="88"/>
      <c r="G12" s="88"/>
    </row>
    <row r="13" spans="2:7" x14ac:dyDescent="0.25">
      <c r="B13" s="60">
        <v>21</v>
      </c>
      <c r="C13" s="61" t="s">
        <v>117</v>
      </c>
      <c r="D13" s="62" t="s">
        <v>210</v>
      </c>
      <c r="E13" s="62" t="s">
        <v>210</v>
      </c>
      <c r="F13" s="88"/>
      <c r="G13" s="88"/>
    </row>
    <row r="14" spans="2:7" x14ac:dyDescent="0.25">
      <c r="F14" s="63">
        <f>SUM(F10:F13)</f>
        <v>0</v>
      </c>
      <c r="G14" s="63">
        <f>SUM(G10:G13)</f>
        <v>0</v>
      </c>
    </row>
    <row r="15" spans="2:7" x14ac:dyDescent="0.25">
      <c r="C15" s="64" t="s">
        <v>211</v>
      </c>
      <c r="D15" s="88"/>
      <c r="F15" s="65"/>
      <c r="G15" s="65"/>
    </row>
    <row r="16" spans="2:7" x14ac:dyDescent="0.25">
      <c r="F16" s="65"/>
      <c r="G16" s="65"/>
    </row>
    <row r="18" spans="2:7" ht="84.75" customHeight="1" x14ac:dyDescent="0.25">
      <c r="B18" s="273" t="s">
        <v>212</v>
      </c>
      <c r="C18" s="274"/>
      <c r="D18" s="274"/>
      <c r="E18" s="274"/>
      <c r="F18" s="274"/>
      <c r="G18" s="274"/>
    </row>
    <row r="20" spans="2:7" ht="15.75" x14ac:dyDescent="0.25">
      <c r="C20" s="66" t="s">
        <v>202</v>
      </c>
      <c r="D20" s="67" t="str">
        <f>IF(F10&lt;&gt;"",F10,"")</f>
        <v/>
      </c>
      <c r="E20" s="66"/>
    </row>
    <row r="21" spans="2:7" ht="15.75" x14ac:dyDescent="0.25">
      <c r="C21" s="66" t="s">
        <v>213</v>
      </c>
      <c r="D21" s="67" t="str">
        <f>IF(F11&lt;&gt;"",F11,"")</f>
        <v/>
      </c>
      <c r="E21" s="66"/>
    </row>
    <row r="22" spans="2:7" ht="15.75" x14ac:dyDescent="0.25">
      <c r="C22" s="66" t="s">
        <v>214</v>
      </c>
      <c r="D22" s="67" t="str">
        <f>IF(F12&lt;&gt;"",F12,"")</f>
        <v/>
      </c>
      <c r="E22" s="66"/>
    </row>
    <row r="23" spans="2:7" ht="15.75" x14ac:dyDescent="0.25">
      <c r="C23" s="66" t="s">
        <v>215</v>
      </c>
      <c r="D23" s="68" t="str">
        <f>IF(F13&lt;&gt;"",F13,"")</f>
        <v/>
      </c>
      <c r="E23" s="66"/>
    </row>
    <row r="24" spans="2:7" ht="15.75" x14ac:dyDescent="0.25">
      <c r="C24" s="66" t="s">
        <v>216</v>
      </c>
      <c r="D24" s="67">
        <f>SUMIF(D20:D23,"&gt;0")</f>
        <v>0</v>
      </c>
      <c r="E24" s="66"/>
    </row>
    <row r="25" spans="2:7" ht="15.75" x14ac:dyDescent="0.25">
      <c r="C25" s="66" t="s">
        <v>217</v>
      </c>
      <c r="D25" s="69" t="str">
        <f>IF(D24&gt;0,365,"")</f>
        <v/>
      </c>
      <c r="E25" s="66"/>
    </row>
    <row r="26" spans="2:7" ht="15.75" x14ac:dyDescent="0.25">
      <c r="C26" s="66" t="s">
        <v>179</v>
      </c>
      <c r="D26" s="67" t="str">
        <f>IFERROR(ROUND(D24/D25,2),"")</f>
        <v/>
      </c>
      <c r="E26" s="66"/>
    </row>
    <row r="27" spans="2:7" ht="15.75" x14ac:dyDescent="0.25">
      <c r="C27" s="66" t="s">
        <v>218</v>
      </c>
      <c r="D27" s="70" t="str">
        <f>IF(D24&gt;0,30.4,"")</f>
        <v/>
      </c>
      <c r="E27" s="66"/>
    </row>
    <row r="28" spans="2:7" ht="15.75" x14ac:dyDescent="0.25">
      <c r="C28" s="71" t="s">
        <v>219</v>
      </c>
      <c r="D28" s="72" t="str">
        <f>IFERROR(ROUND(D26*D27,2),"")</f>
        <v/>
      </c>
      <c r="E28" s="73" t="s">
        <v>220</v>
      </c>
    </row>
    <row r="30" spans="2:7" ht="48.75" customHeight="1" x14ac:dyDescent="0.25">
      <c r="B30" s="275" t="s">
        <v>221</v>
      </c>
      <c r="C30" s="275"/>
      <c r="D30" s="275"/>
      <c r="E30" s="275"/>
      <c r="F30" s="275"/>
      <c r="G30" s="275"/>
    </row>
    <row r="32" spans="2:7" ht="15.75" x14ac:dyDescent="0.25">
      <c r="C32" s="66" t="s">
        <v>222</v>
      </c>
      <c r="D32" s="67" t="str">
        <f>IF(D28&gt;0,D28,"")</f>
        <v/>
      </c>
      <c r="E32" s="73" t="s">
        <v>220</v>
      </c>
    </row>
    <row r="33" spans="2:7" ht="15.75" x14ac:dyDescent="0.25">
      <c r="C33" s="66" t="s">
        <v>223</v>
      </c>
      <c r="D33" s="68" t="str">
        <f>IF(D15&lt;&gt;"",D15,"")</f>
        <v/>
      </c>
    </row>
    <row r="34" spans="2:7" ht="15.75" x14ac:dyDescent="0.25">
      <c r="C34" s="66" t="s">
        <v>224</v>
      </c>
      <c r="D34" s="67" t="str">
        <f>IFERROR(D32+D33,"")</f>
        <v/>
      </c>
    </row>
    <row r="35" spans="2:7" ht="15.75" x14ac:dyDescent="0.25">
      <c r="C35" s="66" t="s">
        <v>195</v>
      </c>
      <c r="D35" s="74" t="str">
        <f>IFERROR(VLOOKUP(D34,TMENSUAL,1),"")</f>
        <v/>
      </c>
    </row>
    <row r="36" spans="2:7" ht="15.75" x14ac:dyDescent="0.25">
      <c r="C36" s="66" t="s">
        <v>225</v>
      </c>
      <c r="D36" s="74" t="str">
        <f>IFERROR(D34-D35,"")</f>
        <v/>
      </c>
    </row>
    <row r="37" spans="2:7" ht="15.75" x14ac:dyDescent="0.25">
      <c r="C37" s="66" t="s">
        <v>226</v>
      </c>
      <c r="D37" s="74" t="str">
        <f>IFERROR(VLOOKUP(D34,TMENSUAL,4),"")</f>
        <v/>
      </c>
    </row>
    <row r="38" spans="2:7" ht="15.75" x14ac:dyDescent="0.25">
      <c r="C38" s="66" t="s">
        <v>197</v>
      </c>
      <c r="D38" s="74" t="str">
        <f>IFERROR(ROUND(D36*D37%,2),"")</f>
        <v/>
      </c>
    </row>
    <row r="39" spans="2:7" ht="15.75" x14ac:dyDescent="0.25">
      <c r="C39" s="66" t="s">
        <v>199</v>
      </c>
      <c r="D39" s="74" t="str">
        <f>IFERROR(VLOOKUP(D34,TMENSUAL,3),"")</f>
        <v/>
      </c>
    </row>
    <row r="40" spans="2:7" ht="15.75" x14ac:dyDescent="0.25">
      <c r="C40" s="66" t="s">
        <v>200</v>
      </c>
      <c r="D40" s="75" t="str">
        <f>IFERROR(D38+D39,"")</f>
        <v/>
      </c>
    </row>
    <row r="41" spans="2:7" ht="15.75" x14ac:dyDescent="0.25">
      <c r="C41" s="66" t="s">
        <v>227</v>
      </c>
      <c r="D41" s="68" cm="1">
        <f t="array" ref="D41">IFERROR(IF(D34&lt;=10171,IF(D40&gt;=ROUND(UMAM*13.8%,2),ROUND(UMAM*13.8%,2),'174'!D40),0),"")</f>
        <v>0</v>
      </c>
    </row>
    <row r="42" spans="2:7" ht="16.5" thickBot="1" x14ac:dyDescent="0.3">
      <c r="C42" s="66" t="str">
        <f>IF(D40&gt;=D41,"(=) Retención de ISR","(=) Subsidio al empleo a entregar en efectivo")</f>
        <v>(=) Retención de ISR</v>
      </c>
      <c r="D42" s="76" t="str">
        <f>IFERROR(D40-D41,"")</f>
        <v/>
      </c>
      <c r="E42" s="73" t="s">
        <v>228</v>
      </c>
    </row>
    <row r="43" spans="2:7" ht="15.75" thickTop="1" x14ac:dyDescent="0.25"/>
    <row r="44" spans="2:7" ht="54" customHeight="1" x14ac:dyDescent="0.25">
      <c r="B44" s="274" t="s">
        <v>229</v>
      </c>
      <c r="C44" s="274"/>
      <c r="D44" s="274"/>
      <c r="E44" s="274"/>
      <c r="F44" s="274"/>
      <c r="G44" s="274"/>
    </row>
    <row r="46" spans="2:7" x14ac:dyDescent="0.25">
      <c r="C46" s="51" t="s">
        <v>230</v>
      </c>
      <c r="D46" s="63" t="str">
        <f>IF(D15&lt;&gt;"",D15,"")</f>
        <v/>
      </c>
    </row>
    <row r="47" spans="2:7" ht="15.75" x14ac:dyDescent="0.25">
      <c r="C47" s="51" t="s">
        <v>195</v>
      </c>
      <c r="D47" s="74" t="str">
        <f>IFERROR(VLOOKUP(D46,TMENSUAL,1),"")</f>
        <v/>
      </c>
    </row>
    <row r="48" spans="2:7" ht="15.75" x14ac:dyDescent="0.25">
      <c r="C48" s="51" t="s">
        <v>225</v>
      </c>
      <c r="D48" s="74" t="str">
        <f>IFERROR(D46-D47,"")</f>
        <v/>
      </c>
    </row>
    <row r="49" spans="2:7" ht="15.75" x14ac:dyDescent="0.25">
      <c r="C49" s="51" t="s">
        <v>226</v>
      </c>
      <c r="D49" s="74" t="str">
        <f>IFERROR(VLOOKUP(D46,TMENSUAL,4),"")</f>
        <v/>
      </c>
    </row>
    <row r="50" spans="2:7" ht="15.75" x14ac:dyDescent="0.25">
      <c r="C50" s="51" t="s">
        <v>197</v>
      </c>
      <c r="D50" s="74" t="str">
        <f>IFERROR(ROUND(D48*D49%,2),"")</f>
        <v/>
      </c>
    </row>
    <row r="51" spans="2:7" ht="15.75" x14ac:dyDescent="0.25">
      <c r="C51" s="51" t="s">
        <v>199</v>
      </c>
      <c r="D51" s="74" t="str">
        <f>IFERROR(VLOOKUP(D46,TMENSUAL,3),"")</f>
        <v/>
      </c>
    </row>
    <row r="52" spans="2:7" ht="15.75" x14ac:dyDescent="0.25">
      <c r="C52" s="51" t="s">
        <v>200</v>
      </c>
      <c r="D52" s="75" t="str">
        <f>IFERROR(D50+D51,"")</f>
        <v/>
      </c>
    </row>
    <row r="53" spans="2:7" ht="15.75" x14ac:dyDescent="0.25">
      <c r="C53" s="51" t="s">
        <v>227</v>
      </c>
      <c r="D53" s="68" cm="1">
        <f t="array" ref="D53">IFERROR(IF(D46&lt;=10171,IF(D52&gt;=ROUND(UMAM*13.8%,2),ROUND(UMAM*13.8%,2),'174'!D52),0),"")</f>
        <v>0</v>
      </c>
    </row>
    <row r="54" spans="2:7" ht="16.5" thickBot="1" x14ac:dyDescent="0.3">
      <c r="C54" s="51" t="str">
        <f>IF(D52&gt;=D53,"(=) Retención de ISR","(=) Subsidio al empleo a entregar en efectivo")</f>
        <v>(=) Retención de ISR</v>
      </c>
      <c r="D54" s="76" t="str">
        <f>IFERROR(D52-D53,"")</f>
        <v/>
      </c>
      <c r="E54" s="73" t="s">
        <v>231</v>
      </c>
    </row>
    <row r="55" spans="2:7" ht="15.75" thickTop="1" x14ac:dyDescent="0.25"/>
    <row r="56" spans="2:7" ht="15.75" x14ac:dyDescent="0.25">
      <c r="C56" s="51" t="s">
        <v>232</v>
      </c>
      <c r="D56" s="63" t="str">
        <f>IF(D42&gt;0,D42,"")</f>
        <v/>
      </c>
      <c r="E56" s="77" t="s">
        <v>228</v>
      </c>
    </row>
    <row r="57" spans="2:7" ht="15.75" x14ac:dyDescent="0.25">
      <c r="C57" s="51" t="s">
        <v>233</v>
      </c>
      <c r="D57" s="78" t="str">
        <f>IF(D54&gt;0,D54,"")</f>
        <v/>
      </c>
      <c r="E57" s="77" t="s">
        <v>231</v>
      </c>
    </row>
    <row r="58" spans="2:7" ht="15.75" x14ac:dyDescent="0.25">
      <c r="C58" s="51" t="s">
        <v>234</v>
      </c>
      <c r="D58" s="63" t="str">
        <f>IFERROR(D56-D57,"")</f>
        <v/>
      </c>
      <c r="E58" s="73" t="s">
        <v>235</v>
      </c>
    </row>
    <row r="60" spans="2:7" ht="99" customHeight="1" x14ac:dyDescent="0.25">
      <c r="B60" s="276" t="s">
        <v>236</v>
      </c>
      <c r="C60" s="275"/>
      <c r="D60" s="275"/>
      <c r="E60" s="275"/>
      <c r="F60" s="275"/>
      <c r="G60" s="275"/>
    </row>
    <row r="62" spans="2:7" ht="15.75" x14ac:dyDescent="0.25">
      <c r="C62" s="66" t="s">
        <v>202</v>
      </c>
      <c r="E62" s="63" t="str">
        <f>IF(D20&lt;&gt;"",D20,"")</f>
        <v/>
      </c>
    </row>
    <row r="63" spans="2:7" ht="15.75" x14ac:dyDescent="0.25">
      <c r="C63" s="66" t="s">
        <v>213</v>
      </c>
      <c r="E63" s="63" t="str">
        <f>IF(D21&lt;&gt;"",D21,"")</f>
        <v/>
      </c>
    </row>
    <row r="64" spans="2:7" ht="15.75" x14ac:dyDescent="0.25">
      <c r="C64" s="66" t="s">
        <v>214</v>
      </c>
      <c r="E64" s="63" t="str">
        <f>IF(D22&lt;&gt;"",D22,"")</f>
        <v/>
      </c>
    </row>
    <row r="65" spans="3:5" ht="15.75" x14ac:dyDescent="0.25">
      <c r="C65" s="66" t="s">
        <v>215</v>
      </c>
      <c r="E65" s="78" t="str">
        <f>IF(D23&lt;&gt;"",D23,"")</f>
        <v/>
      </c>
    </row>
    <row r="66" spans="3:5" ht="15.75" x14ac:dyDescent="0.25">
      <c r="C66" s="51" t="s">
        <v>216</v>
      </c>
      <c r="E66" s="67">
        <f>SUMIF(E62:E65,"&gt;0")</f>
        <v>0</v>
      </c>
    </row>
    <row r="67" spans="3:5" x14ac:dyDescent="0.25">
      <c r="C67" s="51" t="s">
        <v>203</v>
      </c>
      <c r="E67" s="79" t="str">
        <f>IFERROR(ROUND(D68/D69,4),"")</f>
        <v/>
      </c>
    </row>
    <row r="68" spans="3:5" ht="15.75" x14ac:dyDescent="0.25">
      <c r="C68" s="80" t="s">
        <v>237</v>
      </c>
      <c r="D68" s="63" t="str">
        <f>IF(D58&gt;0,D58,"")</f>
        <v/>
      </c>
      <c r="E68" s="77" t="s">
        <v>235</v>
      </c>
    </row>
    <row r="69" spans="3:5" ht="15.75" x14ac:dyDescent="0.25">
      <c r="C69" s="80" t="s">
        <v>238</v>
      </c>
      <c r="D69" s="78" t="str">
        <f>IF(D28&gt;0,D28,"")</f>
        <v/>
      </c>
      <c r="E69" s="77" t="s">
        <v>220</v>
      </c>
    </row>
    <row r="70" spans="3:5" ht="15.75" thickBot="1" x14ac:dyDescent="0.3">
      <c r="C70" s="52" t="s">
        <v>201</v>
      </c>
      <c r="D70" s="52"/>
      <c r="E70" s="81" t="str">
        <f>IFERROR(ROUND(E66*E67,2),"")</f>
        <v/>
      </c>
    </row>
    <row r="71" spans="3:5" ht="15.75" thickTop="1" x14ac:dyDescent="0.25"/>
  </sheetData>
  <sheetProtection algorithmName="SHA-512" hashValue="4EEDBCZWJIXCY9R0Vu7mt2gfi9Ei0s/SwZuS7OxKAhfiUYb/rk8glFEWETd2GCy7Djb+UsN54XQM1mjaTw42Dw==" saltValue="DEUZSXf/uPDGyOJSxZxUAA==" spinCount="100000" sheet="1" objects="1" scenarios="1" formatCells="0" formatColumns="0" formatRows="0" selectLockedCells="1" sort="0" autoFilter="0"/>
  <mergeCells count="6">
    <mergeCell ref="B60:G60"/>
    <mergeCell ref="B3:C3"/>
    <mergeCell ref="D8:E8"/>
    <mergeCell ref="B18:G18"/>
    <mergeCell ref="B30:G30"/>
    <mergeCell ref="B44:G44"/>
  </mergeCells>
  <conditionalFormatting sqref="C42">
    <cfRule type="cellIs" dxfId="9" priority="3" operator="equal">
      <formula>"(=) Subsidio al empleo a entregar en efectivo"</formula>
    </cfRule>
    <cfRule type="cellIs" dxfId="8" priority="4" operator="equal">
      <formula>"(=) Retención de ISR"</formula>
    </cfRule>
  </conditionalFormatting>
  <conditionalFormatting sqref="C54">
    <cfRule type="cellIs" dxfId="7" priority="1" operator="equal">
      <formula>"(=) Subsidio al empleo a entregar en efectivo"</formula>
    </cfRule>
    <cfRule type="cellIs" dxfId="6" priority="2" operator="equal">
      <formula>"(=) Retención de ISR"</formula>
    </cfRule>
  </conditionalFormatting>
  <hyperlinks>
    <hyperlink ref="E58" location="'174'!E67" display="④" xr:uid="{71CE5ED5-4B28-4CA0-81D4-3E6FC81D62AF}"/>
    <hyperlink ref="E68" location="'174'!E57" display="④" xr:uid="{A6ECDCC7-3E4B-4C91-B159-A1D2721D16C9}"/>
    <hyperlink ref="E42" location="'174'!E55" display="②" xr:uid="{1FAAF31F-1A50-4EA9-B3D2-E6563C1F5D6C}"/>
    <hyperlink ref="E56" location="'174'!E41" display="②" xr:uid="{8F16C15D-64F7-4088-B92F-BDC5FC8A098D}"/>
    <hyperlink ref="E28" location="'174'!E31" display="①" xr:uid="{E37DFA0E-DACA-4E4F-B8DB-4A070AECB9FF}"/>
    <hyperlink ref="E32" location="'174'!E68" display="①" xr:uid="{9BF3E28C-78EF-4E02-9D23-C86CBA5FC575}"/>
    <hyperlink ref="E69" location="'174'!E27" display="①" xr:uid="{4F5103ED-518F-4B98-AE40-A04BDC68857F}"/>
    <hyperlink ref="E54" location="'174'!E56" display="③" xr:uid="{9450A323-0F0D-405C-ACAE-5292B1031356}"/>
    <hyperlink ref="E57" location="'174'!E53" display="③" xr:uid="{48B152CB-037C-4CEB-8F11-04AA4AC81CA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87BB9-BDC0-4733-951B-36BF5FB52CCF}">
  <sheetPr codeName="Hoja11"/>
  <dimension ref="B3:I39"/>
  <sheetViews>
    <sheetView showGridLines="0" zoomScale="110" zoomScaleNormal="110" workbookViewId="0">
      <selection activeCell="E10" sqref="E10"/>
    </sheetView>
  </sheetViews>
  <sheetFormatPr baseColWidth="10" defaultColWidth="9.140625" defaultRowHeight="15" x14ac:dyDescent="0.25"/>
  <cols>
    <col min="2" max="2" width="55" customWidth="1"/>
    <col min="3" max="3" width="14.85546875" customWidth="1"/>
    <col min="4" max="4" width="16.28515625" customWidth="1"/>
    <col min="5" max="5" width="20.5703125" customWidth="1"/>
    <col min="6" max="6" width="12.85546875" customWidth="1"/>
    <col min="7" max="7" width="16" customWidth="1"/>
    <col min="8" max="9" width="15.7109375" customWidth="1"/>
  </cols>
  <sheetData>
    <row r="3" spans="2:9" x14ac:dyDescent="0.25">
      <c r="B3" s="38" t="s">
        <v>384</v>
      </c>
    </row>
    <row r="5" spans="2:9" x14ac:dyDescent="0.25">
      <c r="B5" s="109" t="s">
        <v>306</v>
      </c>
      <c r="C5" s="277" t="s">
        <v>385</v>
      </c>
      <c r="D5" s="277"/>
      <c r="E5" s="277"/>
      <c r="F5" s="277"/>
      <c r="G5" s="110" t="s">
        <v>386</v>
      </c>
    </row>
    <row r="6" spans="2:9" ht="15" customHeight="1" x14ac:dyDescent="0.25">
      <c r="B6" s="111">
        <v>1</v>
      </c>
      <c r="C6" s="278" t="s">
        <v>387</v>
      </c>
      <c r="D6" s="278"/>
      <c r="E6" s="278"/>
      <c r="F6" s="278"/>
      <c r="G6" s="112">
        <f>SUM(I10:I12)</f>
        <v>0</v>
      </c>
    </row>
    <row r="7" spans="2:9" ht="15" customHeight="1" x14ac:dyDescent="0.25">
      <c r="B7" s="111">
        <v>3</v>
      </c>
      <c r="C7" s="279" t="s">
        <v>388</v>
      </c>
      <c r="D7" s="279"/>
      <c r="E7" s="279"/>
      <c r="F7" s="279"/>
      <c r="G7" s="112">
        <f>SUM(I13:I14)</f>
        <v>0</v>
      </c>
    </row>
    <row r="8" spans="2:9" ht="15" customHeight="1" x14ac:dyDescent="0.25"/>
    <row r="9" spans="2:9" x14ac:dyDescent="0.25">
      <c r="B9" s="113" t="s">
        <v>53</v>
      </c>
      <c r="C9" s="114" t="s">
        <v>389</v>
      </c>
      <c r="D9" s="114" t="s">
        <v>173</v>
      </c>
      <c r="E9" s="114" t="s">
        <v>390</v>
      </c>
      <c r="F9" s="114" t="s">
        <v>391</v>
      </c>
      <c r="G9" s="114" t="s">
        <v>392</v>
      </c>
      <c r="H9" s="113" t="s">
        <v>393</v>
      </c>
      <c r="I9" s="113" t="s">
        <v>394</v>
      </c>
    </row>
    <row r="10" spans="2:9" x14ac:dyDescent="0.25">
      <c r="B10" s="2" t="s">
        <v>395</v>
      </c>
      <c r="C10" s="86"/>
      <c r="D10" s="86"/>
      <c r="E10" s="126"/>
      <c r="F10" s="126"/>
      <c r="G10" s="126"/>
      <c r="H10" s="115">
        <v>4.0000000000000001E-3</v>
      </c>
      <c r="I10" s="116">
        <f>IFERROR(IF(C10&gt;=(D10*3),ROUND((C10-(D10*3))*H10*(E10-F10-G10),2),0),"")</f>
        <v>0</v>
      </c>
    </row>
    <row r="11" spans="2:9" x14ac:dyDescent="0.25">
      <c r="B11" s="2" t="s">
        <v>396</v>
      </c>
      <c r="C11" s="86"/>
      <c r="D11" s="280"/>
      <c r="E11" s="126"/>
      <c r="F11" s="126"/>
      <c r="G11" s="126"/>
      <c r="H11" s="117">
        <v>3.7499999999999999E-3</v>
      </c>
      <c r="I11" s="116">
        <f>IFERROR(ROUND(C11*H11*(E11-F11-G11),2),"")</f>
        <v>0</v>
      </c>
    </row>
    <row r="12" spans="2:9" x14ac:dyDescent="0.25">
      <c r="B12" s="2" t="s">
        <v>397</v>
      </c>
      <c r="C12" s="86"/>
      <c r="D12" s="281"/>
      <c r="E12" s="126"/>
      <c r="F12" s="126"/>
      <c r="G12" s="126"/>
      <c r="H12" s="115">
        <v>2.5000000000000001E-3</v>
      </c>
      <c r="I12" s="116">
        <f t="shared" ref="I12:I14" si="0">IFERROR(ROUND(C12*H12*(E12-F12-G12),2),"")</f>
        <v>0</v>
      </c>
    </row>
    <row r="13" spans="2:9" x14ac:dyDescent="0.25">
      <c r="B13" s="2" t="s">
        <v>398</v>
      </c>
      <c r="C13" s="86"/>
      <c r="D13" s="281"/>
      <c r="E13" s="126"/>
      <c r="F13" s="126"/>
      <c r="G13" s="126"/>
      <c r="H13" s="117">
        <v>6.2500000000000003E-3</v>
      </c>
      <c r="I13" s="116">
        <f t="shared" si="0"/>
        <v>0</v>
      </c>
    </row>
    <row r="14" spans="2:9" x14ac:dyDescent="0.25">
      <c r="B14" s="2" t="s">
        <v>399</v>
      </c>
      <c r="C14" s="86"/>
      <c r="D14" s="282"/>
      <c r="E14" s="126"/>
      <c r="F14" s="126"/>
      <c r="G14" s="126"/>
      <c r="H14" s="117">
        <v>1.125E-2</v>
      </c>
      <c r="I14" s="116">
        <f t="shared" si="0"/>
        <v>0</v>
      </c>
    </row>
    <row r="15" spans="2:9" x14ac:dyDescent="0.25">
      <c r="H15" s="114" t="s">
        <v>400</v>
      </c>
      <c r="I15" s="118">
        <f>SUM(I10:I14)</f>
        <v>0</v>
      </c>
    </row>
    <row r="17" spans="2:7" x14ac:dyDescent="0.25">
      <c r="B17" s="109" t="s">
        <v>306</v>
      </c>
      <c r="C17" s="283" t="s">
        <v>385</v>
      </c>
      <c r="D17" s="284"/>
      <c r="E17" s="110" t="s">
        <v>386</v>
      </c>
    </row>
    <row r="18" spans="2:7" x14ac:dyDescent="0.25">
      <c r="B18" s="119">
        <v>2</v>
      </c>
      <c r="C18" s="285" t="s">
        <v>258</v>
      </c>
      <c r="D18" s="286"/>
      <c r="E18" s="48" t="str">
        <f>C32</f>
        <v/>
      </c>
    </row>
    <row r="20" spans="2:7" x14ac:dyDescent="0.25">
      <c r="B20" t="s">
        <v>169</v>
      </c>
      <c r="C20" s="24"/>
    </row>
    <row r="21" spans="2:7" x14ac:dyDescent="0.25">
      <c r="B21" t="s">
        <v>171</v>
      </c>
      <c r="C21" s="127"/>
    </row>
    <row r="22" spans="2:7" x14ac:dyDescent="0.25">
      <c r="B22" t="s">
        <v>401</v>
      </c>
      <c r="C22" s="128"/>
    </row>
    <row r="23" spans="2:7" x14ac:dyDescent="0.25">
      <c r="E23" s="38" t="s">
        <v>193</v>
      </c>
    </row>
    <row r="24" spans="2:7" x14ac:dyDescent="0.25">
      <c r="B24" t="s">
        <v>402</v>
      </c>
      <c r="C24" s="41">
        <f>IFERROR(ROUND(C21*C22,2),"")</f>
        <v>0</v>
      </c>
      <c r="E24" t="s">
        <v>403</v>
      </c>
      <c r="G24" s="82"/>
    </row>
    <row r="25" spans="2:7" x14ac:dyDescent="0.25">
      <c r="B25" t="s">
        <v>404</v>
      </c>
      <c r="C25" s="23"/>
      <c r="E25" t="s">
        <v>194</v>
      </c>
      <c r="G25" s="82"/>
    </row>
    <row r="26" spans="2:7" x14ac:dyDescent="0.25">
      <c r="B26" t="s">
        <v>405</v>
      </c>
      <c r="C26" s="82"/>
      <c r="E26" t="s">
        <v>406</v>
      </c>
      <c r="G26" s="125"/>
    </row>
    <row r="27" spans="2:7" x14ac:dyDescent="0.25">
      <c r="B27" t="s">
        <v>407</v>
      </c>
      <c r="C27" s="41">
        <f>IFERROR(C24+C25-C26,"")</f>
        <v>0</v>
      </c>
      <c r="E27" t="s">
        <v>408</v>
      </c>
      <c r="G27">
        <f>IFERROR(ROUND(G25*G26,2),"")</f>
        <v>0</v>
      </c>
    </row>
    <row r="28" spans="2:7" x14ac:dyDescent="0.25">
      <c r="B28" t="s">
        <v>409</v>
      </c>
      <c r="C28" s="23"/>
      <c r="E28" t="s">
        <v>410</v>
      </c>
      <c r="G28">
        <v>30.4</v>
      </c>
    </row>
    <row r="29" spans="2:7" x14ac:dyDescent="0.25">
      <c r="E29" t="s">
        <v>411</v>
      </c>
      <c r="G29" t="str">
        <f>IFERROR(IF(C22&lt;&gt;"",C22,""),"")</f>
        <v/>
      </c>
    </row>
    <row r="30" spans="2:7" x14ac:dyDescent="0.25">
      <c r="B30" t="s">
        <v>412</v>
      </c>
      <c r="C30" s="41" t="str">
        <f>IFERROR(ROUND(((C27-VLOOKUP(C27,TARIFAC,1))*VLOOKUP(C27,TARIFAC,4)%)+VLOOKUP(C27,TARIFAC,3),2),"")</f>
        <v/>
      </c>
      <c r="E30" s="38" t="s">
        <v>198</v>
      </c>
      <c r="F30" s="38"/>
      <c r="G30" s="38">
        <f>IFERROR(IF(G29&lt;30,ROUND(G27/G28*G29,2),G27),"")</f>
        <v>0</v>
      </c>
    </row>
    <row r="31" spans="2:7" x14ac:dyDescent="0.25">
      <c r="B31" t="s">
        <v>227</v>
      </c>
      <c r="C31" s="40">
        <f>IFERROR(IF((C27+C28)&lt;=G24,IF(C30&gt;=G30,G30,C30),0),"")</f>
        <v>0</v>
      </c>
    </row>
    <row r="32" spans="2:7" x14ac:dyDescent="0.25">
      <c r="B32" s="38" t="s">
        <v>201</v>
      </c>
      <c r="C32" s="42" t="str">
        <f>IFERROR(C30-C31,"")</f>
        <v/>
      </c>
    </row>
    <row r="36" spans="5:8" x14ac:dyDescent="0.25">
      <c r="E36" s="135"/>
      <c r="F36" s="135"/>
      <c r="G36" s="135"/>
      <c r="H36" s="138"/>
    </row>
    <row r="39" spans="5:8" x14ac:dyDescent="0.25">
      <c r="E39" s="41"/>
    </row>
  </sheetData>
  <mergeCells count="6">
    <mergeCell ref="C18:D18"/>
    <mergeCell ref="C5:F5"/>
    <mergeCell ref="C6:F6"/>
    <mergeCell ref="C7:F7"/>
    <mergeCell ref="D11:D14"/>
    <mergeCell ref="C17:D17"/>
  </mergeCells>
  <dataValidations count="2">
    <dataValidation type="custom" allowBlank="1" showInputMessage="1" showErrorMessage="1" errorTitle="Nómina" error="No a capturado la clave en la hoja de portada" sqref="C10:C14 D10:G10 E11:G14 C21:C22" xr:uid="{49CB966D-E94D-4F73-8EF8-2B10EA68EE92}">
      <formula1>IF(COMPA=TRUE,1,0)</formula1>
    </dataValidation>
    <dataValidation type="custom" allowBlank="1" showInputMessage="1" showErrorMessage="1" errorTitle="Nomina" error="No a capturado la contraseña en la hoja de portada" sqref="C20" xr:uid="{B57B99A9-A5C5-4DFD-8BCF-86DE1186595A}">
      <formula1>IF(COMPA=TRUE,1,0)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BE20-9161-4C48-9458-B9E9A5D6B0C0}">
  <sheetPr codeName="Hoja28"/>
  <dimension ref="B1:J122"/>
  <sheetViews>
    <sheetView showGridLines="0" zoomScale="120" zoomScaleNormal="120" workbookViewId="0">
      <selection activeCell="D34" sqref="D34:J34"/>
    </sheetView>
  </sheetViews>
  <sheetFormatPr baseColWidth="10" defaultRowHeight="15" outlineLevelRow="1" x14ac:dyDescent="0.25"/>
  <cols>
    <col min="1" max="1" width="4" customWidth="1"/>
    <col min="2" max="2" width="24.42578125" customWidth="1"/>
    <col min="3" max="3" width="17.7109375" customWidth="1"/>
    <col min="5" max="5" width="25.140625" customWidth="1"/>
    <col min="6" max="6" width="18.5703125" customWidth="1"/>
    <col min="7" max="7" width="9.140625" customWidth="1"/>
    <col min="8" max="8" width="18.42578125" customWidth="1"/>
    <col min="9" max="9" width="34.28515625" customWidth="1"/>
    <col min="10" max="10" width="17.5703125" customWidth="1"/>
  </cols>
  <sheetData>
    <row r="1" spans="2:10" ht="40.5" customHeight="1" x14ac:dyDescent="0.25"/>
    <row r="3" spans="2:10" x14ac:dyDescent="0.25">
      <c r="B3" s="140" t="s">
        <v>417</v>
      </c>
      <c r="E3" s="141" t="s">
        <v>418</v>
      </c>
      <c r="I3" s="142" t="s">
        <v>419</v>
      </c>
    </row>
    <row r="4" spans="2:10" x14ac:dyDescent="0.25">
      <c r="B4" t="s">
        <v>420</v>
      </c>
      <c r="C4" s="143"/>
      <c r="E4" t="s">
        <v>421</v>
      </c>
      <c r="F4" s="143"/>
      <c r="G4" s="144"/>
      <c r="I4" t="s">
        <v>421</v>
      </c>
      <c r="J4" s="143"/>
    </row>
    <row r="5" spans="2:10" x14ac:dyDescent="0.25">
      <c r="B5" t="s">
        <v>422</v>
      </c>
      <c r="C5" s="143"/>
      <c r="E5" t="s">
        <v>423</v>
      </c>
      <c r="F5" s="143"/>
      <c r="G5" s="144"/>
      <c r="I5" t="s">
        <v>423</v>
      </c>
      <c r="J5" s="143"/>
    </row>
    <row r="6" spans="2:10" x14ac:dyDescent="0.25">
      <c r="B6" t="s">
        <v>424</v>
      </c>
      <c r="C6" s="143"/>
      <c r="E6" t="s">
        <v>425</v>
      </c>
      <c r="F6" s="143"/>
      <c r="G6" s="144"/>
      <c r="I6" t="s">
        <v>425</v>
      </c>
      <c r="J6" s="143"/>
    </row>
    <row r="7" spans="2:10" x14ac:dyDescent="0.25">
      <c r="B7" t="s">
        <v>426</v>
      </c>
      <c r="C7" s="143" t="s">
        <v>427</v>
      </c>
      <c r="E7" t="s">
        <v>428</v>
      </c>
      <c r="F7" s="143"/>
      <c r="G7" s="144"/>
      <c r="I7" t="s">
        <v>428</v>
      </c>
      <c r="J7" s="143"/>
    </row>
    <row r="8" spans="2:10" x14ac:dyDescent="0.25">
      <c r="B8" t="s">
        <v>429</v>
      </c>
      <c r="C8" s="145" t="s">
        <v>430</v>
      </c>
      <c r="E8" t="s">
        <v>431</v>
      </c>
      <c r="F8" s="143"/>
      <c r="G8" s="144"/>
      <c r="I8" t="s">
        <v>432</v>
      </c>
      <c r="J8" s="143"/>
    </row>
    <row r="9" spans="2:10" x14ac:dyDescent="0.25">
      <c r="B9" t="s">
        <v>433</v>
      </c>
      <c r="C9" s="143" t="s">
        <v>434</v>
      </c>
      <c r="I9" t="s">
        <v>435</v>
      </c>
      <c r="J9" s="143"/>
    </row>
    <row r="10" spans="2:10" x14ac:dyDescent="0.25">
      <c r="B10" t="s">
        <v>436</v>
      </c>
      <c r="C10" s="145" t="s">
        <v>430</v>
      </c>
      <c r="I10" t="s">
        <v>437</v>
      </c>
      <c r="J10" s="143" t="s">
        <v>438</v>
      </c>
    </row>
    <row r="11" spans="2:10" x14ac:dyDescent="0.25">
      <c r="B11" t="s">
        <v>439</v>
      </c>
      <c r="C11" s="145" t="s">
        <v>430</v>
      </c>
    </row>
    <row r="12" spans="2:10" x14ac:dyDescent="0.25">
      <c r="B12" t="s">
        <v>440</v>
      </c>
      <c r="C12" s="143"/>
    </row>
    <row r="13" spans="2:10" x14ac:dyDescent="0.25">
      <c r="B13" t="s">
        <v>441</v>
      </c>
      <c r="C13" s="146" t="s">
        <v>442</v>
      </c>
    </row>
    <row r="14" spans="2:10" x14ac:dyDescent="0.25">
      <c r="B14" t="s">
        <v>443</v>
      </c>
      <c r="C14" s="143" t="s">
        <v>444</v>
      </c>
    </row>
    <row r="16" spans="2:10" x14ac:dyDescent="0.25">
      <c r="B16" s="328" t="s">
        <v>445</v>
      </c>
      <c r="C16" s="328"/>
      <c r="D16" s="328"/>
      <c r="E16" s="328"/>
      <c r="F16" s="328"/>
      <c r="G16" s="328"/>
      <c r="H16" s="328"/>
      <c r="I16" s="328"/>
      <c r="J16" s="328"/>
    </row>
    <row r="17" spans="2:10" x14ac:dyDescent="0.25">
      <c r="B17" s="147" t="s">
        <v>446</v>
      </c>
      <c r="C17" s="148"/>
      <c r="E17" s="147" t="s">
        <v>447</v>
      </c>
      <c r="F17" s="2"/>
    </row>
    <row r="19" spans="2:10" x14ac:dyDescent="0.25">
      <c r="B19" s="328" t="s">
        <v>448</v>
      </c>
      <c r="C19" s="328"/>
      <c r="D19" s="328"/>
      <c r="E19" s="328"/>
      <c r="F19" s="328"/>
      <c r="G19" s="328"/>
      <c r="H19" s="328"/>
      <c r="I19" s="328"/>
      <c r="J19" s="328"/>
    </row>
    <row r="20" spans="2:10" x14ac:dyDescent="0.25">
      <c r="B20" s="149" t="s">
        <v>449</v>
      </c>
      <c r="C20" s="2">
        <v>84111505</v>
      </c>
      <c r="E20" s="149" t="s">
        <v>450</v>
      </c>
      <c r="F20" s="145" t="s">
        <v>430</v>
      </c>
      <c r="I20" s="149" t="s">
        <v>451</v>
      </c>
      <c r="J20" s="2" t="s">
        <v>452</v>
      </c>
    </row>
    <row r="21" spans="2:10" x14ac:dyDescent="0.25">
      <c r="B21" s="150"/>
    </row>
    <row r="22" spans="2:10" x14ac:dyDescent="0.25">
      <c r="B22" s="149" t="s">
        <v>453</v>
      </c>
      <c r="C22" s="145" t="s">
        <v>430</v>
      </c>
      <c r="E22" s="149" t="s">
        <v>454</v>
      </c>
      <c r="F22" s="2">
        <v>1</v>
      </c>
      <c r="I22" s="149" t="s">
        <v>455</v>
      </c>
      <c r="J22" s="2"/>
    </row>
    <row r="23" spans="2:10" x14ac:dyDescent="0.25">
      <c r="B23" s="151"/>
      <c r="E23" s="149"/>
      <c r="I23" s="152"/>
    </row>
    <row r="24" spans="2:10" x14ac:dyDescent="0.25">
      <c r="B24" s="149" t="s">
        <v>456</v>
      </c>
      <c r="C24" s="2" t="s">
        <v>457</v>
      </c>
      <c r="E24" s="149" t="s">
        <v>458</v>
      </c>
      <c r="F24" s="2"/>
      <c r="I24" s="149" t="s">
        <v>459</v>
      </c>
      <c r="J24" s="2"/>
    </row>
    <row r="25" spans="2:10" x14ac:dyDescent="0.25">
      <c r="B25" s="150"/>
    </row>
    <row r="26" spans="2:10" x14ac:dyDescent="0.25">
      <c r="B26" s="149" t="s">
        <v>460</v>
      </c>
      <c r="C26" s="143"/>
      <c r="E26" s="149" t="s">
        <v>461</v>
      </c>
      <c r="F26" s="145" t="s">
        <v>430</v>
      </c>
      <c r="I26" s="149" t="s">
        <v>462</v>
      </c>
      <c r="J26" s="145" t="s">
        <v>430</v>
      </c>
    </row>
    <row r="28" spans="2:10" x14ac:dyDescent="0.25">
      <c r="B28" s="329" t="s">
        <v>463</v>
      </c>
      <c r="C28" s="329"/>
      <c r="D28" s="329"/>
      <c r="E28" s="329"/>
      <c r="F28" s="329"/>
      <c r="G28" s="329"/>
      <c r="H28" s="329"/>
      <c r="I28" s="329"/>
      <c r="J28" s="329"/>
    </row>
    <row r="29" spans="2:10" ht="219" customHeight="1" x14ac:dyDescent="0.25">
      <c r="B29" s="310" t="s">
        <v>464</v>
      </c>
      <c r="C29" s="310"/>
      <c r="D29" s="266" t="s">
        <v>465</v>
      </c>
      <c r="E29" s="266"/>
      <c r="F29" s="266"/>
      <c r="G29" s="266"/>
      <c r="H29" s="266"/>
      <c r="I29" s="266"/>
      <c r="J29" s="266"/>
    </row>
    <row r="30" spans="2:10" ht="177" customHeight="1" x14ac:dyDescent="0.25">
      <c r="B30" s="310" t="s">
        <v>466</v>
      </c>
      <c r="C30" s="310"/>
      <c r="D30" s="266" t="s">
        <v>467</v>
      </c>
      <c r="E30" s="270"/>
      <c r="F30" s="270"/>
      <c r="G30" s="270"/>
      <c r="H30" s="270"/>
      <c r="I30" s="270"/>
      <c r="J30" s="270"/>
    </row>
    <row r="31" spans="2:10" ht="111.75" customHeight="1" x14ac:dyDescent="0.25">
      <c r="B31" s="310" t="s">
        <v>468</v>
      </c>
      <c r="C31" s="310"/>
      <c r="D31" s="304" t="s">
        <v>469</v>
      </c>
      <c r="E31" s="305"/>
      <c r="F31" s="305"/>
      <c r="G31" s="305"/>
      <c r="H31" s="305"/>
      <c r="I31" s="305"/>
      <c r="J31" s="305"/>
    </row>
    <row r="32" spans="2:10" ht="117.75" customHeight="1" x14ac:dyDescent="0.25">
      <c r="B32" s="310" t="s">
        <v>470</v>
      </c>
      <c r="C32" s="310"/>
      <c r="D32" s="266" t="s">
        <v>471</v>
      </c>
      <c r="E32" s="270"/>
      <c r="F32" s="270"/>
      <c r="G32" s="270"/>
      <c r="H32" s="270"/>
      <c r="I32" s="270"/>
      <c r="J32" s="270"/>
    </row>
    <row r="33" spans="2:10" ht="112.5" customHeight="1" x14ac:dyDescent="0.25">
      <c r="B33" s="310" t="s">
        <v>472</v>
      </c>
      <c r="C33" s="310"/>
      <c r="D33" s="266" t="s">
        <v>473</v>
      </c>
      <c r="E33" s="270"/>
      <c r="F33" s="270"/>
      <c r="G33" s="270"/>
      <c r="H33" s="270"/>
      <c r="I33" s="270"/>
      <c r="J33" s="270"/>
    </row>
    <row r="34" spans="2:10" ht="255.75" customHeight="1" x14ac:dyDescent="0.25">
      <c r="B34" s="310" t="s">
        <v>474</v>
      </c>
      <c r="C34" s="310"/>
      <c r="D34" s="266" t="s">
        <v>475</v>
      </c>
      <c r="E34" s="270"/>
      <c r="F34" s="270"/>
      <c r="G34" s="270"/>
      <c r="H34" s="270"/>
      <c r="I34" s="270"/>
      <c r="J34" s="270"/>
    </row>
    <row r="35" spans="2:10" ht="142.5" customHeight="1" x14ac:dyDescent="0.25">
      <c r="B35" s="322" t="s">
        <v>476</v>
      </c>
      <c r="C35" s="323"/>
      <c r="D35" s="266" t="s">
        <v>477</v>
      </c>
      <c r="E35" s="270"/>
      <c r="F35" s="270"/>
      <c r="G35" s="270"/>
      <c r="H35" s="270"/>
      <c r="I35" s="270"/>
      <c r="J35" s="270"/>
    </row>
    <row r="36" spans="2:10" x14ac:dyDescent="0.25">
      <c r="B36" s="324"/>
      <c r="C36" s="325"/>
      <c r="D36" s="153"/>
      <c r="E36" s="154" t="s">
        <v>478</v>
      </c>
      <c r="F36" s="154" t="s">
        <v>479</v>
      </c>
      <c r="G36" s="26"/>
      <c r="H36" s="155" t="s">
        <v>480</v>
      </c>
      <c r="I36" s="156">
        <f>IFERROR(DATEDIF(E37,F37,"y"),"")</f>
        <v>0</v>
      </c>
      <c r="J36" s="157"/>
    </row>
    <row r="37" spans="2:10" x14ac:dyDescent="0.25">
      <c r="B37" s="324"/>
      <c r="C37" s="325"/>
      <c r="D37" s="153"/>
      <c r="E37" s="158">
        <v>45901</v>
      </c>
      <c r="F37" s="158">
        <v>45904</v>
      </c>
      <c r="G37" s="26"/>
      <c r="H37" s="155" t="s">
        <v>481</v>
      </c>
      <c r="I37" s="156">
        <f>IFERROR(DATEDIF(E37,F37,"YM"),"")</f>
        <v>0</v>
      </c>
      <c r="J37" s="157"/>
    </row>
    <row r="38" spans="2:10" x14ac:dyDescent="0.25">
      <c r="B38" s="324"/>
      <c r="C38" s="325"/>
      <c r="D38" s="153"/>
      <c r="E38" s="26"/>
      <c r="F38" s="26"/>
      <c r="G38" s="26"/>
      <c r="H38" s="155" t="s">
        <v>482</v>
      </c>
      <c r="I38" s="156">
        <f>IFERROR(DATEDIF(E37,F37,"MD"),"")</f>
        <v>3</v>
      </c>
      <c r="J38" s="157"/>
    </row>
    <row r="39" spans="2:10" x14ac:dyDescent="0.25">
      <c r="B39" s="324"/>
      <c r="C39" s="325"/>
      <c r="D39" s="153"/>
      <c r="E39" s="26"/>
      <c r="F39" s="26"/>
      <c r="G39" s="26"/>
      <c r="J39" s="157"/>
    </row>
    <row r="40" spans="2:10" x14ac:dyDescent="0.25">
      <c r="B40" s="324"/>
      <c r="C40" s="325"/>
      <c r="D40" s="153"/>
      <c r="E40" s="26"/>
      <c r="F40" s="26"/>
      <c r="G40" s="26"/>
      <c r="H40" s="154" t="s">
        <v>476</v>
      </c>
      <c r="I40" s="154" t="s">
        <v>483</v>
      </c>
      <c r="J40" s="157"/>
    </row>
    <row r="41" spans="2:10" x14ac:dyDescent="0.25">
      <c r="B41" s="324"/>
      <c r="C41" s="325"/>
      <c r="D41" s="153"/>
      <c r="E41" s="26"/>
      <c r="F41" s="26"/>
      <c r="G41" s="26"/>
      <c r="H41" s="3" t="s">
        <v>484</v>
      </c>
      <c r="I41" s="3" t="str">
        <f>IFERROR(IF(AND(I36=0,I37&gt;0,I38&gt;0),"P"&amp;I37&amp;"M"&amp;I38&amp;"D",IF(AND(I36&gt;0,I37=0,I38=0),"P"&amp;I36&amp;"Y",IF(AND(I36=0,I37&gt;0,I38=0),"P"&amp;I37&amp;"M",IF(AND(I36=0,I37=0,I38&gt;0),"P"&amp;I38&amp;"D",IF(AND(I36&gt;0,I37=0,I38&gt;0),"P"&amp;I36&amp;"Y"&amp;I38&amp;"D",IF(AND(I36&gt;0,I37&gt;0,I38&gt;0),"P"&amp;I36&amp;"Y"&amp;I37&amp;"M"&amp;I38&amp;"D",IF(AND(I36&gt;0,I37&gt;0,I38=0),"P"&amp;I36&amp;"Y"&amp;I37&amp;"M",""))))))),"")</f>
        <v>P3D</v>
      </c>
      <c r="J41" s="157"/>
    </row>
    <row r="42" spans="2:10" x14ac:dyDescent="0.25">
      <c r="B42" s="326"/>
      <c r="C42" s="327"/>
      <c r="D42" s="159"/>
      <c r="E42" s="160"/>
      <c r="F42" s="160"/>
      <c r="G42" s="160"/>
      <c r="H42" s="3" t="s">
        <v>485</v>
      </c>
      <c r="I42" s="2" t="str">
        <f>IFERROR("P"&amp;INT(DATEDIF(E37,F37,"d")/7)&amp;"W","")</f>
        <v>P0W</v>
      </c>
      <c r="J42" s="161"/>
    </row>
    <row r="43" spans="2:10" ht="124.5" customHeight="1" x14ac:dyDescent="0.25">
      <c r="B43" s="322" t="s">
        <v>486</v>
      </c>
      <c r="C43" s="323"/>
      <c r="D43" s="266" t="s">
        <v>487</v>
      </c>
      <c r="E43" s="270"/>
      <c r="F43" s="270"/>
      <c r="G43" s="270"/>
      <c r="H43" s="270"/>
      <c r="I43" s="270"/>
      <c r="J43" s="270"/>
    </row>
    <row r="44" spans="2:10" ht="15" customHeight="1" thickBot="1" x14ac:dyDescent="0.3">
      <c r="B44" s="324"/>
      <c r="C44" s="325"/>
      <c r="D44" s="162"/>
      <c r="E44" s="163"/>
      <c r="F44" s="163"/>
      <c r="G44" s="163"/>
      <c r="H44" s="163"/>
      <c r="I44" s="163"/>
      <c r="J44" s="164"/>
    </row>
    <row r="45" spans="2:10" ht="15" customHeight="1" x14ac:dyDescent="0.25">
      <c r="B45" s="324"/>
      <c r="C45" s="325"/>
      <c r="D45" s="165"/>
      <c r="E45" s="166" t="s">
        <v>488</v>
      </c>
      <c r="F45" s="311" t="s">
        <v>101</v>
      </c>
      <c r="G45" s="311"/>
      <c r="H45" s="311"/>
      <c r="I45" s="123" t="s">
        <v>489</v>
      </c>
      <c r="J45" s="167"/>
    </row>
    <row r="46" spans="2:10" ht="15" customHeight="1" x14ac:dyDescent="0.25">
      <c r="B46" s="324"/>
      <c r="C46" s="325"/>
      <c r="D46" s="165"/>
      <c r="E46" s="168">
        <v>1</v>
      </c>
      <c r="F46" s="308" t="s">
        <v>490</v>
      </c>
      <c r="G46" s="308"/>
      <c r="H46" s="308"/>
      <c r="I46" s="3" t="s">
        <v>491</v>
      </c>
      <c r="J46" s="169"/>
    </row>
    <row r="47" spans="2:10" ht="52.5" hidden="1" customHeight="1" outlineLevel="1" x14ac:dyDescent="0.25">
      <c r="B47" s="324"/>
      <c r="C47" s="325"/>
      <c r="D47" s="165"/>
      <c r="E47" s="318" t="s">
        <v>492</v>
      </c>
      <c r="F47" s="319"/>
      <c r="G47" s="319"/>
      <c r="H47" s="319"/>
      <c r="I47" s="320"/>
      <c r="J47" s="169"/>
    </row>
    <row r="48" spans="2:10" ht="15" customHeight="1" collapsed="1" x14ac:dyDescent="0.25">
      <c r="B48" s="324"/>
      <c r="C48" s="325"/>
      <c r="D48" s="165"/>
      <c r="E48" s="168">
        <v>2</v>
      </c>
      <c r="F48" s="308" t="s">
        <v>493</v>
      </c>
      <c r="G48" s="308"/>
      <c r="H48" s="308"/>
      <c r="I48" s="3" t="s">
        <v>494</v>
      </c>
      <c r="J48" s="169"/>
    </row>
    <row r="49" spans="2:10" ht="39" hidden="1" customHeight="1" outlineLevel="1" x14ac:dyDescent="0.25">
      <c r="B49" s="324"/>
      <c r="C49" s="325"/>
      <c r="D49" s="165"/>
      <c r="E49" s="318" t="s">
        <v>495</v>
      </c>
      <c r="F49" s="319"/>
      <c r="G49" s="319"/>
      <c r="H49" s="319"/>
      <c r="I49" s="320"/>
      <c r="J49" s="169"/>
    </row>
    <row r="50" spans="2:10" ht="15" customHeight="1" collapsed="1" x14ac:dyDescent="0.25">
      <c r="B50" s="324"/>
      <c r="C50" s="325"/>
      <c r="D50" s="165"/>
      <c r="E50" s="168">
        <v>3</v>
      </c>
      <c r="F50" s="308" t="s">
        <v>496</v>
      </c>
      <c r="G50" s="308"/>
      <c r="H50" s="308"/>
      <c r="I50" s="3" t="s">
        <v>497</v>
      </c>
      <c r="J50" s="169"/>
    </row>
    <row r="51" spans="2:10" ht="101.25" hidden="1" customHeight="1" outlineLevel="1" x14ac:dyDescent="0.25">
      <c r="B51" s="324"/>
      <c r="C51" s="325"/>
      <c r="D51" s="165"/>
      <c r="E51" s="318" t="s">
        <v>498</v>
      </c>
      <c r="F51" s="319"/>
      <c r="G51" s="319"/>
      <c r="H51" s="319"/>
      <c r="I51" s="320"/>
      <c r="J51" s="169"/>
    </row>
    <row r="52" spans="2:10" ht="15" customHeight="1" collapsed="1" x14ac:dyDescent="0.25">
      <c r="B52" s="324"/>
      <c r="C52" s="325"/>
      <c r="D52" s="165"/>
      <c r="E52" s="168">
        <v>4</v>
      </c>
      <c r="F52" s="308" t="s">
        <v>499</v>
      </c>
      <c r="G52" s="308"/>
      <c r="H52" s="308"/>
      <c r="I52" s="3" t="s">
        <v>500</v>
      </c>
      <c r="J52" s="169"/>
    </row>
    <row r="53" spans="2:10" ht="112.5" hidden="1" customHeight="1" outlineLevel="1" x14ac:dyDescent="0.25">
      <c r="B53" s="324"/>
      <c r="C53" s="325"/>
      <c r="D53" s="165"/>
      <c r="E53" s="312" t="s">
        <v>501</v>
      </c>
      <c r="F53" s="312"/>
      <c r="G53" s="312"/>
      <c r="H53" s="312"/>
      <c r="I53" s="312"/>
      <c r="J53" s="169"/>
    </row>
    <row r="54" spans="2:10" ht="15" customHeight="1" collapsed="1" x14ac:dyDescent="0.25">
      <c r="B54" s="324"/>
      <c r="C54" s="325"/>
      <c r="D54" s="165"/>
      <c r="E54" s="168">
        <v>5</v>
      </c>
      <c r="F54" s="308" t="s">
        <v>502</v>
      </c>
      <c r="G54" s="308"/>
      <c r="H54" s="308"/>
      <c r="I54" s="3" t="s">
        <v>503</v>
      </c>
      <c r="J54" s="169"/>
    </row>
    <row r="55" spans="2:10" ht="243.75" hidden="1" customHeight="1" outlineLevel="1" x14ac:dyDescent="0.25">
      <c r="B55" s="324"/>
      <c r="C55" s="325"/>
      <c r="D55" s="165"/>
      <c r="E55" s="318" t="s">
        <v>504</v>
      </c>
      <c r="F55" s="319"/>
      <c r="G55" s="319"/>
      <c r="H55" s="319"/>
      <c r="I55" s="320"/>
      <c r="J55" s="169"/>
    </row>
    <row r="56" spans="2:10" ht="15" customHeight="1" collapsed="1" x14ac:dyDescent="0.25">
      <c r="B56" s="324"/>
      <c r="C56" s="325"/>
      <c r="D56" s="165"/>
      <c r="E56" s="168">
        <v>6</v>
      </c>
      <c r="F56" s="308" t="s">
        <v>505</v>
      </c>
      <c r="G56" s="308"/>
      <c r="H56" s="308"/>
      <c r="I56" s="3" t="s">
        <v>506</v>
      </c>
      <c r="J56" s="169"/>
    </row>
    <row r="57" spans="2:10" ht="210.75" hidden="1" customHeight="1" outlineLevel="1" x14ac:dyDescent="0.25">
      <c r="B57" s="324"/>
      <c r="C57" s="325"/>
      <c r="D57" s="165"/>
      <c r="E57" s="318" t="s">
        <v>507</v>
      </c>
      <c r="F57" s="319"/>
      <c r="G57" s="319"/>
      <c r="H57" s="319"/>
      <c r="I57" s="320"/>
      <c r="J57" s="169"/>
    </row>
    <row r="58" spans="2:10" ht="15" customHeight="1" collapsed="1" x14ac:dyDescent="0.25">
      <c r="B58" s="324"/>
      <c r="C58" s="325"/>
      <c r="D58" s="165"/>
      <c r="E58" s="168">
        <v>7</v>
      </c>
      <c r="F58" s="308" t="s">
        <v>508</v>
      </c>
      <c r="G58" s="308"/>
      <c r="H58" s="308"/>
      <c r="I58" s="3" t="s">
        <v>509</v>
      </c>
      <c r="J58" s="169"/>
    </row>
    <row r="59" spans="2:10" ht="215.25" hidden="1" customHeight="1" outlineLevel="1" x14ac:dyDescent="0.25">
      <c r="B59" s="324"/>
      <c r="C59" s="325"/>
      <c r="D59" s="165"/>
      <c r="E59" s="312" t="s">
        <v>510</v>
      </c>
      <c r="F59" s="312"/>
      <c r="G59" s="312"/>
      <c r="H59" s="312"/>
      <c r="I59" s="312"/>
      <c r="J59" s="169"/>
    </row>
    <row r="60" spans="2:10" ht="15" customHeight="1" collapsed="1" x14ac:dyDescent="0.25">
      <c r="B60" s="324"/>
      <c r="C60" s="325"/>
      <c r="D60" s="165"/>
      <c r="E60" s="170">
        <v>8</v>
      </c>
      <c r="F60" s="321" t="s">
        <v>511</v>
      </c>
      <c r="G60" s="321"/>
      <c r="H60" s="321"/>
      <c r="J60" s="169"/>
    </row>
    <row r="61" spans="2:10" ht="122.25" hidden="1" customHeight="1" outlineLevel="1" x14ac:dyDescent="0.25">
      <c r="B61" s="324"/>
      <c r="C61" s="325"/>
      <c r="D61" s="165"/>
      <c r="E61" s="312" t="s">
        <v>512</v>
      </c>
      <c r="F61" s="312"/>
      <c r="G61" s="312"/>
      <c r="H61" s="312"/>
      <c r="I61" s="312"/>
      <c r="J61" s="169"/>
    </row>
    <row r="62" spans="2:10" ht="32.25" customHeight="1" collapsed="1" x14ac:dyDescent="0.25">
      <c r="B62" s="324"/>
      <c r="C62" s="325"/>
      <c r="D62" s="165"/>
      <c r="E62" s="171">
        <v>9</v>
      </c>
      <c r="F62" s="313" t="s">
        <v>513</v>
      </c>
      <c r="G62" s="313"/>
      <c r="H62" s="313"/>
      <c r="J62" s="169"/>
    </row>
    <row r="63" spans="2:10" ht="15" customHeight="1" x14ac:dyDescent="0.25">
      <c r="B63" s="324"/>
      <c r="C63" s="325"/>
      <c r="D63" s="165"/>
      <c r="E63" s="168">
        <v>10</v>
      </c>
      <c r="F63" s="308" t="s">
        <v>514</v>
      </c>
      <c r="G63" s="308"/>
      <c r="H63" s="308"/>
      <c r="J63" s="169"/>
    </row>
    <row r="64" spans="2:10" ht="15" customHeight="1" x14ac:dyDescent="0.25">
      <c r="B64" s="326"/>
      <c r="C64" s="327"/>
      <c r="D64" s="165"/>
      <c r="E64" s="172">
        <v>99</v>
      </c>
      <c r="F64" s="314" t="s">
        <v>515</v>
      </c>
      <c r="G64" s="314"/>
      <c r="H64" s="314"/>
      <c r="J64" s="169"/>
    </row>
    <row r="65" spans="2:10" ht="207" customHeight="1" x14ac:dyDescent="0.25">
      <c r="B65" s="315" t="s">
        <v>516</v>
      </c>
      <c r="C65" s="316"/>
      <c r="D65" s="268" t="s">
        <v>517</v>
      </c>
      <c r="E65" s="292"/>
      <c r="F65" s="292"/>
      <c r="G65" s="292"/>
      <c r="H65" s="292"/>
      <c r="I65" s="292"/>
      <c r="J65" s="317"/>
    </row>
    <row r="66" spans="2:10" ht="167.25" customHeight="1" x14ac:dyDescent="0.25">
      <c r="B66" s="310" t="s">
        <v>97</v>
      </c>
      <c r="C66" s="310"/>
      <c r="D66" s="268" t="s">
        <v>518</v>
      </c>
      <c r="E66" s="269"/>
      <c r="F66" s="269"/>
      <c r="G66" s="269"/>
      <c r="H66" s="269"/>
      <c r="I66" s="269"/>
      <c r="J66" s="289"/>
    </row>
    <row r="67" spans="2:10" x14ac:dyDescent="0.25">
      <c r="B67" s="310"/>
      <c r="C67" s="310"/>
      <c r="D67" s="173"/>
      <c r="E67" s="174"/>
      <c r="F67" s="174"/>
      <c r="G67" s="175"/>
      <c r="H67" s="175"/>
      <c r="I67" s="175"/>
      <c r="J67" s="176"/>
    </row>
    <row r="68" spans="2:10" ht="25.5" customHeight="1" x14ac:dyDescent="0.25">
      <c r="B68" s="310"/>
      <c r="C68" s="310"/>
      <c r="D68" s="177"/>
      <c r="E68" s="123" t="s">
        <v>519</v>
      </c>
      <c r="F68" s="123" t="s">
        <v>101</v>
      </c>
      <c r="G68" s="311" t="s">
        <v>489</v>
      </c>
      <c r="H68" s="311"/>
      <c r="I68" s="26"/>
      <c r="J68" s="157"/>
    </row>
    <row r="69" spans="2:10" x14ac:dyDescent="0.25">
      <c r="B69" s="310"/>
      <c r="C69" s="310"/>
      <c r="D69" s="177"/>
      <c r="E69" s="178">
        <v>1</v>
      </c>
      <c r="F69" s="29" t="s">
        <v>13</v>
      </c>
      <c r="G69" s="309" t="s">
        <v>520</v>
      </c>
      <c r="H69" s="309"/>
      <c r="I69" s="26"/>
      <c r="J69" s="157"/>
    </row>
    <row r="70" spans="2:10" x14ac:dyDescent="0.25">
      <c r="B70" s="310"/>
      <c r="C70" s="310"/>
      <c r="D70" s="177"/>
      <c r="E70" s="178">
        <v>2</v>
      </c>
      <c r="F70" s="29" t="s">
        <v>14</v>
      </c>
      <c r="G70" s="309" t="s">
        <v>520</v>
      </c>
      <c r="H70" s="309"/>
      <c r="I70" s="26"/>
      <c r="J70" s="157"/>
    </row>
    <row r="71" spans="2:10" x14ac:dyDescent="0.25">
      <c r="B71" s="310"/>
      <c r="C71" s="310"/>
      <c r="D71" s="177"/>
      <c r="E71" s="178">
        <v>3</v>
      </c>
      <c r="F71" s="29" t="s">
        <v>15</v>
      </c>
      <c r="G71" s="309" t="s">
        <v>520</v>
      </c>
      <c r="H71" s="309"/>
      <c r="I71" s="26"/>
      <c r="J71" s="157"/>
    </row>
    <row r="72" spans="2:10" x14ac:dyDescent="0.25">
      <c r="B72" s="310"/>
      <c r="C72" s="310"/>
      <c r="D72" s="177"/>
      <c r="E72" s="178">
        <v>4</v>
      </c>
      <c r="F72" s="29" t="s">
        <v>521</v>
      </c>
      <c r="G72" s="309" t="s">
        <v>509</v>
      </c>
      <c r="H72" s="309"/>
      <c r="I72" s="26"/>
      <c r="J72" s="157"/>
    </row>
    <row r="73" spans="2:10" x14ac:dyDescent="0.25">
      <c r="B73" s="310"/>
      <c r="C73" s="310"/>
      <c r="D73" s="177"/>
      <c r="E73" s="178">
        <v>5</v>
      </c>
      <c r="F73" s="29" t="s">
        <v>522</v>
      </c>
      <c r="G73" s="309" t="s">
        <v>523</v>
      </c>
      <c r="H73" s="309"/>
      <c r="I73" s="26"/>
      <c r="J73" s="157"/>
    </row>
    <row r="74" spans="2:10" x14ac:dyDescent="0.25">
      <c r="B74" s="310"/>
      <c r="C74" s="310"/>
      <c r="D74" s="177"/>
      <c r="E74" s="178">
        <v>6</v>
      </c>
      <c r="F74" s="29" t="s">
        <v>524</v>
      </c>
      <c r="G74" s="309" t="s">
        <v>525</v>
      </c>
      <c r="H74" s="309"/>
      <c r="I74" s="26"/>
      <c r="J74" s="157"/>
    </row>
    <row r="75" spans="2:10" x14ac:dyDescent="0.25">
      <c r="B75" s="310"/>
      <c r="C75" s="310"/>
      <c r="D75" s="177"/>
      <c r="E75" s="178">
        <v>7</v>
      </c>
      <c r="F75" s="29" t="s">
        <v>526</v>
      </c>
      <c r="G75" s="309" t="s">
        <v>527</v>
      </c>
      <c r="H75" s="309"/>
      <c r="I75" s="26"/>
      <c r="J75" s="157"/>
    </row>
    <row r="76" spans="2:10" x14ac:dyDescent="0.25">
      <c r="B76" s="310"/>
      <c r="C76" s="310"/>
      <c r="D76" s="177"/>
      <c r="E76" s="178">
        <v>8</v>
      </c>
      <c r="F76" s="29" t="s">
        <v>528</v>
      </c>
      <c r="G76" s="309" t="s">
        <v>529</v>
      </c>
      <c r="H76" s="309"/>
      <c r="I76" s="26"/>
      <c r="J76" s="157"/>
    </row>
    <row r="77" spans="2:10" x14ac:dyDescent="0.25">
      <c r="B77" s="310"/>
      <c r="C77" s="310"/>
      <c r="D77" s="177"/>
      <c r="E77" s="179">
        <v>99</v>
      </c>
      <c r="F77" s="96" t="s">
        <v>530</v>
      </c>
      <c r="G77" s="26"/>
      <c r="H77" s="26"/>
      <c r="I77" s="26"/>
      <c r="J77" s="157"/>
    </row>
    <row r="78" spans="2:10" x14ac:dyDescent="0.25">
      <c r="B78" s="310"/>
      <c r="C78" s="310"/>
      <c r="D78" s="180"/>
      <c r="E78" s="160"/>
      <c r="F78" s="160"/>
      <c r="G78" s="160"/>
      <c r="H78" s="160"/>
      <c r="I78" s="160"/>
      <c r="J78" s="161"/>
    </row>
    <row r="79" spans="2:10" ht="315.75" hidden="1" customHeight="1" outlineLevel="1" x14ac:dyDescent="0.25">
      <c r="B79" s="310"/>
      <c r="C79" s="310"/>
      <c r="D79" s="247" t="s">
        <v>531</v>
      </c>
      <c r="E79" s="248"/>
      <c r="F79" s="248"/>
      <c r="G79" s="248"/>
      <c r="H79" s="248"/>
      <c r="I79" s="248"/>
      <c r="J79" s="248"/>
    </row>
    <row r="80" spans="2:10" ht="15" customHeight="1" collapsed="1" x14ac:dyDescent="0.25"/>
    <row r="81" spans="2:10" ht="109.5" customHeight="1" x14ac:dyDescent="0.25">
      <c r="B81" s="310" t="s">
        <v>532</v>
      </c>
      <c r="C81" s="310"/>
      <c r="D81" s="292" t="s">
        <v>533</v>
      </c>
      <c r="E81" s="269"/>
      <c r="F81" s="269"/>
      <c r="G81" s="269"/>
      <c r="H81" s="269"/>
      <c r="I81" s="269"/>
      <c r="J81" s="289"/>
    </row>
    <row r="82" spans="2:10" ht="15" customHeight="1" x14ac:dyDescent="0.25">
      <c r="B82" s="310"/>
      <c r="C82" s="310"/>
      <c r="D82" s="124"/>
      <c r="E82" s="89"/>
      <c r="F82" s="89"/>
      <c r="G82" s="89"/>
      <c r="H82" s="89"/>
      <c r="I82" s="89"/>
      <c r="J82" s="89"/>
    </row>
    <row r="83" spans="2:10" ht="15" hidden="1" customHeight="1" outlineLevel="1" x14ac:dyDescent="0.25">
      <c r="B83" s="310"/>
      <c r="C83" s="310"/>
      <c r="D83" s="124"/>
      <c r="E83" s="166" t="s">
        <v>534</v>
      </c>
      <c r="F83" s="311" t="s">
        <v>101</v>
      </c>
      <c r="G83" s="311"/>
      <c r="H83" s="311"/>
      <c r="I83" s="89"/>
      <c r="J83" s="89"/>
    </row>
    <row r="84" spans="2:10" ht="15" hidden="1" customHeight="1" outlineLevel="1" x14ac:dyDescent="0.25">
      <c r="B84" s="310"/>
      <c r="C84" s="310"/>
      <c r="D84" s="124"/>
      <c r="E84" s="178">
        <v>2</v>
      </c>
      <c r="F84" s="308" t="s">
        <v>535</v>
      </c>
      <c r="G84" s="308"/>
      <c r="H84" s="308"/>
      <c r="I84" s="266" t="s">
        <v>536</v>
      </c>
      <c r="J84" s="270"/>
    </row>
    <row r="85" spans="2:10" ht="15" hidden="1" customHeight="1" outlineLevel="1" x14ac:dyDescent="0.25">
      <c r="B85" s="310"/>
      <c r="C85" s="310"/>
      <c r="D85" s="124"/>
      <c r="E85" s="178">
        <v>3</v>
      </c>
      <c r="F85" s="308" t="s">
        <v>537</v>
      </c>
      <c r="G85" s="308"/>
      <c r="H85" s="308"/>
      <c r="I85" s="270"/>
      <c r="J85" s="270"/>
    </row>
    <row r="86" spans="2:10" ht="15" hidden="1" customHeight="1" outlineLevel="1" x14ac:dyDescent="0.25">
      <c r="B86" s="310"/>
      <c r="C86" s="310"/>
      <c r="D86" s="124"/>
      <c r="E86" s="178">
        <v>4</v>
      </c>
      <c r="F86" s="308" t="s">
        <v>538</v>
      </c>
      <c r="G86" s="308"/>
      <c r="H86" s="308"/>
      <c r="I86" s="270"/>
      <c r="J86" s="270"/>
    </row>
    <row r="87" spans="2:10" ht="33.75" hidden="1" customHeight="1" outlineLevel="1" x14ac:dyDescent="0.25">
      <c r="B87" s="310"/>
      <c r="C87" s="310"/>
      <c r="D87" s="124"/>
      <c r="E87" s="178">
        <v>5</v>
      </c>
      <c r="F87" s="308" t="s">
        <v>539</v>
      </c>
      <c r="G87" s="308"/>
      <c r="H87" s="308"/>
      <c r="I87" s="306" t="s">
        <v>540</v>
      </c>
      <c r="J87" s="307"/>
    </row>
    <row r="88" spans="2:10" ht="33" hidden="1" customHeight="1" outlineLevel="1" x14ac:dyDescent="0.25">
      <c r="B88" s="310"/>
      <c r="C88" s="310"/>
      <c r="D88" s="124"/>
      <c r="E88" s="178">
        <v>6</v>
      </c>
      <c r="F88" s="308" t="s">
        <v>541</v>
      </c>
      <c r="G88" s="308"/>
      <c r="H88" s="308"/>
      <c r="I88" s="307"/>
      <c r="J88" s="307"/>
    </row>
    <row r="89" spans="2:10" ht="15" hidden="1" customHeight="1" outlineLevel="1" x14ac:dyDescent="0.25">
      <c r="B89" s="310"/>
      <c r="C89" s="310"/>
      <c r="D89" s="124"/>
      <c r="E89" s="178">
        <v>7</v>
      </c>
      <c r="F89" s="308" t="s">
        <v>542</v>
      </c>
      <c r="G89" s="308"/>
      <c r="H89" s="308"/>
      <c r="I89" s="307"/>
      <c r="J89" s="307"/>
    </row>
    <row r="90" spans="2:10" ht="15" hidden="1" customHeight="1" outlineLevel="1" x14ac:dyDescent="0.25">
      <c r="B90" s="310"/>
      <c r="C90" s="310"/>
      <c r="D90" s="124"/>
      <c r="E90" s="178">
        <v>8</v>
      </c>
      <c r="F90" s="308" t="s">
        <v>543</v>
      </c>
      <c r="G90" s="308"/>
      <c r="H90" s="308"/>
      <c r="I90" s="307"/>
      <c r="J90" s="307"/>
    </row>
    <row r="91" spans="2:10" ht="15" hidden="1" customHeight="1" outlineLevel="1" x14ac:dyDescent="0.25">
      <c r="B91" s="310"/>
      <c r="C91" s="310"/>
      <c r="D91" s="124"/>
      <c r="E91" s="178">
        <v>9</v>
      </c>
      <c r="F91" s="308" t="s">
        <v>544</v>
      </c>
      <c r="G91" s="308"/>
      <c r="H91" s="308"/>
      <c r="I91" s="307"/>
      <c r="J91" s="307"/>
    </row>
    <row r="92" spans="2:10" ht="15" hidden="1" customHeight="1" outlineLevel="1" x14ac:dyDescent="0.25">
      <c r="B92" s="310"/>
      <c r="C92" s="310"/>
      <c r="D92" s="124"/>
      <c r="E92" s="178">
        <v>10</v>
      </c>
      <c r="F92" s="308" t="s">
        <v>545</v>
      </c>
      <c r="G92" s="308"/>
      <c r="H92" s="308"/>
      <c r="I92" s="307"/>
      <c r="J92" s="307"/>
    </row>
    <row r="93" spans="2:10" ht="15" hidden="1" customHeight="1" outlineLevel="1" x14ac:dyDescent="0.25">
      <c r="B93" s="310"/>
      <c r="C93" s="310"/>
      <c r="D93" s="124"/>
      <c r="E93" s="178">
        <v>11</v>
      </c>
      <c r="F93" s="308" t="s">
        <v>546</v>
      </c>
      <c r="G93" s="308"/>
      <c r="H93" s="308"/>
      <c r="I93" s="307"/>
      <c r="J93" s="307"/>
    </row>
    <row r="94" spans="2:10" ht="15" hidden="1" customHeight="1" outlineLevel="1" x14ac:dyDescent="0.25">
      <c r="B94" s="310"/>
      <c r="C94" s="310"/>
      <c r="D94" s="124"/>
      <c r="E94" s="178">
        <v>12</v>
      </c>
      <c r="F94" s="308" t="s">
        <v>547</v>
      </c>
      <c r="G94" s="308"/>
      <c r="H94" s="308"/>
      <c r="I94" s="307"/>
      <c r="J94" s="307"/>
    </row>
    <row r="95" spans="2:10" ht="15" hidden="1" customHeight="1" outlineLevel="1" x14ac:dyDescent="0.25">
      <c r="B95" s="310"/>
      <c r="C95" s="310"/>
      <c r="D95" s="124"/>
      <c r="E95" s="178">
        <v>13</v>
      </c>
      <c r="F95" s="308" t="s">
        <v>548</v>
      </c>
      <c r="G95" s="308"/>
      <c r="H95" s="308"/>
      <c r="I95" s="307"/>
      <c r="J95" s="307"/>
    </row>
    <row r="96" spans="2:10" hidden="1" outlineLevel="1" x14ac:dyDescent="0.25">
      <c r="B96" s="310"/>
      <c r="C96" s="310"/>
      <c r="E96" s="178">
        <v>99</v>
      </c>
      <c r="F96" s="308" t="s">
        <v>549</v>
      </c>
      <c r="G96" s="308"/>
      <c r="H96" s="308"/>
      <c r="I96" s="307"/>
      <c r="J96" s="307"/>
    </row>
    <row r="97" spans="2:10" hidden="1" outlineLevel="1" x14ac:dyDescent="0.25">
      <c r="B97" s="310"/>
      <c r="C97" s="310"/>
      <c r="E97" s="181"/>
      <c r="F97" s="182"/>
      <c r="G97" s="182"/>
      <c r="H97" s="182"/>
      <c r="I97" s="183"/>
      <c r="J97" s="183"/>
    </row>
    <row r="98" spans="2:10" ht="217.5" hidden="1" customHeight="1" outlineLevel="1" x14ac:dyDescent="0.25">
      <c r="B98" s="310"/>
      <c r="C98" s="310"/>
      <c r="E98" s="247" t="s">
        <v>550</v>
      </c>
      <c r="F98" s="248"/>
      <c r="G98" s="248"/>
      <c r="H98" s="248"/>
      <c r="I98" s="248"/>
      <c r="J98" s="248"/>
    </row>
    <row r="99" spans="2:10" ht="15" customHeight="1" collapsed="1" x14ac:dyDescent="0.25"/>
    <row r="100" spans="2:10" ht="96.75" customHeight="1" x14ac:dyDescent="0.25">
      <c r="B100" s="296" t="s">
        <v>551</v>
      </c>
      <c r="C100" s="296"/>
      <c r="D100" s="266" t="s">
        <v>552</v>
      </c>
      <c r="E100" s="270"/>
      <c r="F100" s="270"/>
      <c r="G100" s="270"/>
      <c r="H100" s="270"/>
      <c r="I100" s="270"/>
      <c r="J100" s="270"/>
    </row>
    <row r="101" spans="2:10" ht="99.75" customHeight="1" x14ac:dyDescent="0.25">
      <c r="B101" s="296" t="s">
        <v>553</v>
      </c>
      <c r="C101" s="296"/>
      <c r="D101" s="266" t="s">
        <v>554</v>
      </c>
      <c r="E101" s="270"/>
      <c r="F101" s="270"/>
      <c r="G101" s="270"/>
      <c r="H101" s="270"/>
      <c r="I101" s="270"/>
      <c r="J101" s="270"/>
    </row>
    <row r="102" spans="2:10" ht="126.75" customHeight="1" x14ac:dyDescent="0.25">
      <c r="B102" s="296" t="s">
        <v>555</v>
      </c>
      <c r="C102" s="296"/>
      <c r="D102" s="304" t="s">
        <v>556</v>
      </c>
      <c r="E102" s="305"/>
      <c r="F102" s="305"/>
      <c r="G102" s="305"/>
      <c r="H102" s="305"/>
      <c r="I102" s="305"/>
      <c r="J102" s="305"/>
    </row>
    <row r="103" spans="2:10" ht="182.25" customHeight="1" x14ac:dyDescent="0.25">
      <c r="B103" s="296" t="s">
        <v>557</v>
      </c>
      <c r="C103" s="296"/>
      <c r="D103" s="266" t="s">
        <v>558</v>
      </c>
      <c r="E103" s="270"/>
      <c r="F103" s="270"/>
      <c r="G103" s="270"/>
      <c r="H103" s="270"/>
      <c r="I103" s="270"/>
      <c r="J103" s="270"/>
    </row>
    <row r="104" spans="2:10" ht="128.25" customHeight="1" x14ac:dyDescent="0.25">
      <c r="B104" s="297" t="s">
        <v>559</v>
      </c>
      <c r="C104" s="298"/>
      <c r="D104" s="266" t="s">
        <v>560</v>
      </c>
      <c r="E104" s="270"/>
      <c r="F104" s="270"/>
      <c r="G104" s="270"/>
      <c r="H104" s="270"/>
      <c r="I104" s="270"/>
      <c r="J104" s="270"/>
    </row>
    <row r="105" spans="2:10" ht="15" customHeight="1" thickBot="1" x14ac:dyDescent="0.3">
      <c r="B105" s="299"/>
      <c r="C105" s="300"/>
      <c r="D105" s="184"/>
      <c r="E105" s="174"/>
      <c r="F105" s="174"/>
      <c r="G105" s="174"/>
      <c r="H105" s="174"/>
      <c r="I105" s="174"/>
      <c r="J105" s="185"/>
    </row>
    <row r="106" spans="2:10" ht="15" customHeight="1" x14ac:dyDescent="0.25">
      <c r="B106" s="299"/>
      <c r="C106" s="300"/>
      <c r="D106" s="153"/>
      <c r="E106" s="186" t="s">
        <v>561</v>
      </c>
      <c r="F106" s="27" t="s">
        <v>101</v>
      </c>
      <c r="J106" s="167"/>
    </row>
    <row r="107" spans="2:10" ht="15" customHeight="1" x14ac:dyDescent="0.25">
      <c r="B107" s="299"/>
      <c r="C107" s="300"/>
      <c r="D107" s="153"/>
      <c r="E107" s="178">
        <v>1</v>
      </c>
      <c r="F107" s="29" t="s">
        <v>562</v>
      </c>
      <c r="G107" s="303" t="s">
        <v>563</v>
      </c>
      <c r="H107" s="303"/>
      <c r="I107" s="303"/>
      <c r="J107" s="303"/>
    </row>
    <row r="108" spans="2:10" ht="15" customHeight="1" x14ac:dyDescent="0.25">
      <c r="B108" s="299"/>
      <c r="C108" s="300"/>
      <c r="D108" s="153"/>
      <c r="E108" s="178">
        <v>2</v>
      </c>
      <c r="F108" s="29" t="s">
        <v>564</v>
      </c>
      <c r="G108" s="303"/>
      <c r="H108" s="303"/>
      <c r="I108" s="303"/>
      <c r="J108" s="303"/>
    </row>
    <row r="109" spans="2:10" ht="15" customHeight="1" x14ac:dyDescent="0.25">
      <c r="B109" s="299"/>
      <c r="C109" s="300"/>
      <c r="D109" s="153"/>
      <c r="E109" s="178">
        <v>3</v>
      </c>
      <c r="F109" s="29" t="s">
        <v>565</v>
      </c>
      <c r="G109" s="303"/>
      <c r="H109" s="303"/>
      <c r="I109" s="303"/>
      <c r="J109" s="303"/>
    </row>
    <row r="110" spans="2:10" ht="15" customHeight="1" x14ac:dyDescent="0.25">
      <c r="B110" s="299"/>
      <c r="C110" s="300"/>
      <c r="D110" s="153"/>
      <c r="E110" s="178">
        <v>4</v>
      </c>
      <c r="F110" s="29" t="s">
        <v>566</v>
      </c>
      <c r="G110" s="303"/>
      <c r="H110" s="303"/>
      <c r="I110" s="303"/>
      <c r="J110" s="303"/>
    </row>
    <row r="111" spans="2:10" ht="15" customHeight="1" x14ac:dyDescent="0.25">
      <c r="B111" s="299"/>
      <c r="C111" s="300"/>
      <c r="D111" s="153"/>
      <c r="E111" s="178">
        <v>5</v>
      </c>
      <c r="F111" s="29" t="s">
        <v>567</v>
      </c>
      <c r="G111" s="303"/>
      <c r="H111" s="303"/>
      <c r="I111" s="303"/>
      <c r="J111" s="303"/>
    </row>
    <row r="112" spans="2:10" ht="15" customHeight="1" x14ac:dyDescent="0.25">
      <c r="B112" s="299"/>
      <c r="C112" s="300"/>
      <c r="D112" s="153"/>
      <c r="E112" s="178">
        <v>6</v>
      </c>
      <c r="F112" s="29" t="s">
        <v>568</v>
      </c>
      <c r="G112" s="303"/>
      <c r="H112" s="303"/>
      <c r="I112" s="303"/>
      <c r="J112" s="303"/>
    </row>
    <row r="113" spans="2:10" ht="15" customHeight="1" x14ac:dyDescent="0.25">
      <c r="B113" s="299"/>
      <c r="C113" s="300"/>
      <c r="D113" s="153"/>
      <c r="E113" s="178">
        <v>7</v>
      </c>
      <c r="F113" s="29" t="s">
        <v>569</v>
      </c>
      <c r="G113" s="303"/>
      <c r="H113" s="303"/>
      <c r="I113" s="303"/>
      <c r="J113" s="303"/>
    </row>
    <row r="114" spans="2:10" ht="15" customHeight="1" x14ac:dyDescent="0.25">
      <c r="B114" s="299"/>
      <c r="C114" s="300"/>
      <c r="D114" s="153"/>
      <c r="E114" s="178">
        <v>8</v>
      </c>
      <c r="F114" s="29" t="s">
        <v>570</v>
      </c>
      <c r="G114" s="303"/>
      <c r="H114" s="303"/>
      <c r="I114" s="303"/>
      <c r="J114" s="303"/>
    </row>
    <row r="115" spans="2:10" ht="15" customHeight="1" x14ac:dyDescent="0.25">
      <c r="B115" s="299"/>
      <c r="C115" s="300"/>
      <c r="D115" s="153"/>
      <c r="E115" s="178">
        <v>9</v>
      </c>
      <c r="F115" s="29" t="s">
        <v>571</v>
      </c>
      <c r="G115" s="303"/>
      <c r="H115" s="303"/>
      <c r="I115" s="303"/>
      <c r="J115" s="303"/>
    </row>
    <row r="116" spans="2:10" ht="15" customHeight="1" x14ac:dyDescent="0.25">
      <c r="B116" s="299"/>
      <c r="C116" s="300"/>
      <c r="D116" s="153"/>
      <c r="E116" s="187">
        <v>10</v>
      </c>
      <c r="F116" s="29" t="s">
        <v>572</v>
      </c>
      <c r="G116" s="303"/>
      <c r="H116" s="303"/>
      <c r="I116" s="303"/>
      <c r="J116" s="303"/>
    </row>
    <row r="117" spans="2:10" ht="15" customHeight="1" x14ac:dyDescent="0.25">
      <c r="B117" s="301"/>
      <c r="C117" s="302"/>
      <c r="D117" s="159"/>
      <c r="E117" s="178">
        <v>99</v>
      </c>
      <c r="F117" s="29" t="s">
        <v>573</v>
      </c>
      <c r="G117" s="303"/>
      <c r="H117" s="303"/>
      <c r="I117" s="303"/>
      <c r="J117" s="303"/>
    </row>
    <row r="118" spans="2:10" ht="324" customHeight="1" x14ac:dyDescent="0.25">
      <c r="B118" s="287" t="s">
        <v>574</v>
      </c>
      <c r="C118" s="288"/>
      <c r="D118" s="268" t="s">
        <v>575</v>
      </c>
      <c r="E118" s="269"/>
      <c r="F118" s="269"/>
      <c r="G118" s="269"/>
      <c r="H118" s="269"/>
      <c r="I118" s="269"/>
      <c r="J118" s="289"/>
    </row>
    <row r="119" spans="2:10" ht="74.25" customHeight="1" x14ac:dyDescent="0.25">
      <c r="B119" s="287" t="s">
        <v>576</v>
      </c>
      <c r="C119" s="288"/>
      <c r="D119" s="268" t="s">
        <v>577</v>
      </c>
      <c r="E119" s="269"/>
      <c r="F119" s="269"/>
      <c r="G119" s="269"/>
      <c r="H119" s="269"/>
      <c r="I119" s="269"/>
      <c r="J119" s="289"/>
    </row>
    <row r="120" spans="2:10" ht="275.25" customHeight="1" x14ac:dyDescent="0.25">
      <c r="B120" s="290" t="s">
        <v>578</v>
      </c>
      <c r="C120" s="291"/>
      <c r="D120" s="292" t="s">
        <v>579</v>
      </c>
      <c r="E120" s="269"/>
      <c r="F120" s="269"/>
      <c r="G120" s="269"/>
      <c r="H120" s="269"/>
      <c r="I120" s="269"/>
      <c r="J120" s="289"/>
    </row>
    <row r="121" spans="2:10" ht="292.5" customHeight="1" x14ac:dyDescent="0.25">
      <c r="B121" s="290" t="s">
        <v>580</v>
      </c>
      <c r="C121" s="291"/>
      <c r="D121" s="293" t="s">
        <v>581</v>
      </c>
      <c r="E121" s="294"/>
      <c r="F121" s="294"/>
      <c r="G121" s="294"/>
      <c r="H121" s="294"/>
      <c r="I121" s="294"/>
      <c r="J121" s="295"/>
    </row>
    <row r="122" spans="2:10" ht="206.25" customHeight="1" x14ac:dyDescent="0.25">
      <c r="B122" s="287" t="s">
        <v>582</v>
      </c>
      <c r="C122" s="288"/>
      <c r="D122" s="268" t="s">
        <v>583</v>
      </c>
      <c r="E122" s="269"/>
      <c r="F122" s="269"/>
      <c r="G122" s="269"/>
      <c r="H122" s="269"/>
      <c r="I122" s="269"/>
      <c r="J122" s="289"/>
    </row>
  </sheetData>
  <mergeCells count="93">
    <mergeCell ref="B30:C30"/>
    <mergeCell ref="D30:J30"/>
    <mergeCell ref="B16:J16"/>
    <mergeCell ref="B19:J19"/>
    <mergeCell ref="B28:J28"/>
    <mergeCell ref="B29:C29"/>
    <mergeCell ref="D29:J29"/>
    <mergeCell ref="B31:C31"/>
    <mergeCell ref="D31:J31"/>
    <mergeCell ref="B32:C32"/>
    <mergeCell ref="D32:J32"/>
    <mergeCell ref="B33:C33"/>
    <mergeCell ref="D33:J33"/>
    <mergeCell ref="F54:H54"/>
    <mergeCell ref="B34:C34"/>
    <mergeCell ref="D34:J34"/>
    <mergeCell ref="B35:C42"/>
    <mergeCell ref="D35:J35"/>
    <mergeCell ref="B43:C64"/>
    <mergeCell ref="D43:J43"/>
    <mergeCell ref="F45:H45"/>
    <mergeCell ref="F46:H46"/>
    <mergeCell ref="E47:I47"/>
    <mergeCell ref="F48:H48"/>
    <mergeCell ref="E49:I49"/>
    <mergeCell ref="F50:H50"/>
    <mergeCell ref="E51:I51"/>
    <mergeCell ref="F52:H52"/>
    <mergeCell ref="E53:I53"/>
    <mergeCell ref="B65:C65"/>
    <mergeCell ref="D65:J65"/>
    <mergeCell ref="E55:I55"/>
    <mergeCell ref="F56:H56"/>
    <mergeCell ref="E57:I57"/>
    <mergeCell ref="F58:H58"/>
    <mergeCell ref="E59:I59"/>
    <mergeCell ref="F60:H60"/>
    <mergeCell ref="G72:H72"/>
    <mergeCell ref="G73:H73"/>
    <mergeCell ref="G74:H74"/>
    <mergeCell ref="G75:H75"/>
    <mergeCell ref="E61:I61"/>
    <mergeCell ref="F62:H62"/>
    <mergeCell ref="F63:H63"/>
    <mergeCell ref="F64:H64"/>
    <mergeCell ref="G76:H76"/>
    <mergeCell ref="D79:J79"/>
    <mergeCell ref="B81:C98"/>
    <mergeCell ref="D81:J81"/>
    <mergeCell ref="F83:H83"/>
    <mergeCell ref="F84:H84"/>
    <mergeCell ref="I84:J86"/>
    <mergeCell ref="F85:H85"/>
    <mergeCell ref="F86:H86"/>
    <mergeCell ref="F87:H87"/>
    <mergeCell ref="B66:C79"/>
    <mergeCell ref="D66:J66"/>
    <mergeCell ref="G68:H68"/>
    <mergeCell ref="G69:H69"/>
    <mergeCell ref="G70:H70"/>
    <mergeCell ref="G71:H71"/>
    <mergeCell ref="I87:J96"/>
    <mergeCell ref="F88:H88"/>
    <mergeCell ref="F89:H89"/>
    <mergeCell ref="F90:H90"/>
    <mergeCell ref="F91:H91"/>
    <mergeCell ref="F92:H92"/>
    <mergeCell ref="F93:H93"/>
    <mergeCell ref="F94:H94"/>
    <mergeCell ref="F95:H95"/>
    <mergeCell ref="F96:H96"/>
    <mergeCell ref="B118:C118"/>
    <mergeCell ref="D118:J118"/>
    <mergeCell ref="E98:J98"/>
    <mergeCell ref="B100:C100"/>
    <mergeCell ref="D100:J100"/>
    <mergeCell ref="B101:C101"/>
    <mergeCell ref="D101:J101"/>
    <mergeCell ref="B102:C102"/>
    <mergeCell ref="D102:J102"/>
    <mergeCell ref="B103:C103"/>
    <mergeCell ref="D103:J103"/>
    <mergeCell ref="B104:C117"/>
    <mergeCell ref="D104:J104"/>
    <mergeCell ref="G107:J117"/>
    <mergeCell ref="B122:C122"/>
    <mergeCell ref="D122:J122"/>
    <mergeCell ref="B119:C119"/>
    <mergeCell ref="D119:J119"/>
    <mergeCell ref="B120:C120"/>
    <mergeCell ref="D120:J120"/>
    <mergeCell ref="B121:C121"/>
    <mergeCell ref="D121:J121"/>
  </mergeCells>
  <hyperlinks>
    <hyperlink ref="I3" location="FUNDAMENTO!A268" display="Nodo receptor" xr:uid="{B86C0E1E-F0AB-4963-9E16-73FB64A5C573}"/>
    <hyperlink ref="B120:C120" location="FSBC!F6" display="Salario base cuota aportación" xr:uid="{129CDA74-5DC1-46CB-9F2E-3A787C31C6BF}"/>
    <hyperlink ref="B121" location="DSDI!C6" display="Salario diario integrado" xr:uid="{0E08E225-2CF0-4C0D-A224-7B3E8FDE782C}"/>
  </hyperlinks>
  <pageMargins left="0.7" right="0.7" top="0.75" bottom="0.75" header="0.3" footer="0.3"/>
  <pageSetup paperSize="9"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CE92-2A52-4E43-9458-DD3EECC037B5}">
  <sheetPr codeName="Hoja5"/>
  <dimension ref="B3:G59"/>
  <sheetViews>
    <sheetView showGridLines="0" workbookViewId="0">
      <selection activeCell="B5" sqref="B5"/>
    </sheetView>
  </sheetViews>
  <sheetFormatPr baseColWidth="10" defaultRowHeight="15" x14ac:dyDescent="0.25"/>
  <cols>
    <col min="2" max="2" width="19.28515625" customWidth="1"/>
    <col min="3" max="3" width="15.28515625" customWidth="1"/>
    <col min="4" max="4" width="19" customWidth="1"/>
    <col min="5" max="6" width="18.140625" customWidth="1"/>
    <col min="7" max="7" width="19" customWidth="1"/>
  </cols>
  <sheetData>
    <row r="3" spans="2:7" ht="15.75" thickBot="1" x14ac:dyDescent="0.3">
      <c r="B3" s="38" t="s">
        <v>584</v>
      </c>
    </row>
    <row r="4" spans="2:7" ht="45.75" thickBot="1" x14ac:dyDescent="0.3">
      <c r="B4" s="330" t="s">
        <v>585</v>
      </c>
      <c r="C4" s="331"/>
      <c r="D4" s="188" t="s">
        <v>586</v>
      </c>
      <c r="E4" s="188" t="s">
        <v>587</v>
      </c>
      <c r="F4" s="188" t="s">
        <v>588</v>
      </c>
      <c r="G4" s="188" t="s">
        <v>589</v>
      </c>
    </row>
    <row r="5" spans="2:7" ht="15.75" thickBot="1" x14ac:dyDescent="0.3">
      <c r="B5" s="227">
        <v>46023</v>
      </c>
      <c r="C5" s="227">
        <v>46029</v>
      </c>
      <c r="D5" s="189">
        <f>IF(AND(B5&lt;&gt;"",C5&lt;&gt;""),DATEDIF(B5,C5,"D")+1,"")</f>
        <v>7</v>
      </c>
      <c r="E5" s="228">
        <v>70</v>
      </c>
      <c r="F5" s="229">
        <v>50</v>
      </c>
      <c r="G5" s="190">
        <f>IFERROR(E5*F5,"")</f>
        <v>3500</v>
      </c>
    </row>
    <row r="6" spans="2:7" ht="15.75" thickBot="1" x14ac:dyDescent="0.3">
      <c r="B6" s="227">
        <f>C5+1</f>
        <v>46030</v>
      </c>
      <c r="C6" s="227">
        <f>C5+6</f>
        <v>46035</v>
      </c>
      <c r="D6" s="189">
        <f t="shared" ref="D6:D10" si="0">IF(AND(B6&lt;&gt;"",C6&lt;&gt;""),DATEDIF(B6,C6,"D")+1,"")</f>
        <v>6</v>
      </c>
      <c r="E6" s="228">
        <v>60</v>
      </c>
      <c r="F6" s="229">
        <v>50</v>
      </c>
      <c r="G6" s="190">
        <f t="shared" ref="G6:G10" si="1">IFERROR(E6*F6,"")</f>
        <v>3000</v>
      </c>
    </row>
    <row r="7" spans="2:7" ht="15.75" thickBot="1" x14ac:dyDescent="0.3">
      <c r="B7" s="227">
        <f>C6+1</f>
        <v>46036</v>
      </c>
      <c r="C7" s="227">
        <f>B7+6</f>
        <v>46042</v>
      </c>
      <c r="D7" s="189">
        <f t="shared" si="0"/>
        <v>7</v>
      </c>
      <c r="E7" s="228">
        <v>80</v>
      </c>
      <c r="F7" s="229">
        <v>50</v>
      </c>
      <c r="G7" s="190">
        <f t="shared" si="1"/>
        <v>4000</v>
      </c>
    </row>
    <row r="8" spans="2:7" ht="15.75" thickBot="1" x14ac:dyDescent="0.3">
      <c r="B8" s="227">
        <f>C7+1</f>
        <v>46043</v>
      </c>
      <c r="C8" s="227">
        <f>B8+6</f>
        <v>46049</v>
      </c>
      <c r="D8" s="189">
        <f t="shared" si="0"/>
        <v>7</v>
      </c>
      <c r="E8" s="228">
        <v>75</v>
      </c>
      <c r="F8" s="229">
        <v>50</v>
      </c>
      <c r="G8" s="190">
        <f t="shared" si="1"/>
        <v>3750</v>
      </c>
    </row>
    <row r="9" spans="2:7" ht="15.75" thickBot="1" x14ac:dyDescent="0.3">
      <c r="B9" s="227">
        <f t="shared" ref="B9" si="2">C8+1</f>
        <v>46050</v>
      </c>
      <c r="C9" s="227">
        <v>46052</v>
      </c>
      <c r="D9" s="189">
        <f t="shared" si="0"/>
        <v>3</v>
      </c>
      <c r="E9" s="228">
        <v>65</v>
      </c>
      <c r="F9" s="229">
        <v>50</v>
      </c>
      <c r="G9" s="190">
        <f t="shared" si="1"/>
        <v>3250</v>
      </c>
    </row>
    <row r="10" spans="2:7" ht="15.75" thickBot="1" x14ac:dyDescent="0.3">
      <c r="B10" s="227"/>
      <c r="C10" s="227"/>
      <c r="D10" s="189" t="str">
        <f t="shared" si="0"/>
        <v/>
      </c>
      <c r="E10" s="228">
        <v>20</v>
      </c>
      <c r="F10" s="229">
        <v>50</v>
      </c>
      <c r="G10" s="190">
        <f t="shared" si="1"/>
        <v>1000</v>
      </c>
    </row>
    <row r="11" spans="2:7" ht="15.75" thickBot="1" x14ac:dyDescent="0.3">
      <c r="B11" s="191" t="s">
        <v>400</v>
      </c>
      <c r="C11" s="191"/>
      <c r="D11" s="192">
        <f>SUM(D5:D10)</f>
        <v>30</v>
      </c>
      <c r="E11" s="191"/>
      <c r="F11" s="191"/>
      <c r="G11" s="193">
        <f>SUM(G5:G10)</f>
        <v>18500</v>
      </c>
    </row>
    <row r="14" spans="2:7" x14ac:dyDescent="0.25">
      <c r="B14" s="332" t="s">
        <v>590</v>
      </c>
      <c r="C14" s="332"/>
      <c r="D14" s="194">
        <f>G11</f>
        <v>18500</v>
      </c>
      <c r="E14" s="333" t="str">
        <f>"=      "&amp;IFERROR(ROUND(D14/D15,2),"")</f>
        <v>=      616.67</v>
      </c>
    </row>
    <row r="15" spans="2:7" x14ac:dyDescent="0.25">
      <c r="B15" s="332"/>
      <c r="C15" s="332"/>
      <c r="D15" s="26">
        <f>D11</f>
        <v>30</v>
      </c>
      <c r="E15" s="333"/>
    </row>
    <row r="18" spans="2:3" x14ac:dyDescent="0.25">
      <c r="B18" s="38" t="s">
        <v>591</v>
      </c>
    </row>
    <row r="19" spans="2:3" x14ac:dyDescent="0.25">
      <c r="B19" s="38" t="s">
        <v>169</v>
      </c>
      <c r="C19" s="24"/>
    </row>
    <row r="20" spans="2:3" x14ac:dyDescent="0.25">
      <c r="B20" s="38" t="s">
        <v>592</v>
      </c>
      <c r="C20" s="195" t="str">
        <f>IFERROR(IF(C19&lt;&gt;"",C19-30,""),"")</f>
        <v/>
      </c>
    </row>
    <row r="21" spans="2:3" ht="30" x14ac:dyDescent="0.25">
      <c r="B21" s="196" t="s">
        <v>593</v>
      </c>
      <c r="C21" s="230"/>
    </row>
    <row r="23" spans="2:3" ht="30" x14ac:dyDescent="0.25">
      <c r="B23" s="197" t="s">
        <v>594</v>
      </c>
      <c r="C23" s="198" t="s">
        <v>595</v>
      </c>
    </row>
    <row r="24" spans="2:3" x14ac:dyDescent="0.25">
      <c r="B24" s="199" t="str">
        <f>IF(C20&lt;&gt;"",C20,"")</f>
        <v/>
      </c>
      <c r="C24" s="82"/>
    </row>
    <row r="25" spans="2:3" x14ac:dyDescent="0.25">
      <c r="B25" s="199" t="str">
        <f>IFERROR(B24+1,"")</f>
        <v/>
      </c>
      <c r="C25" s="82"/>
    </row>
    <row r="26" spans="2:3" x14ac:dyDescent="0.25">
      <c r="B26" s="199" t="str">
        <f t="shared" ref="B26:B54" si="3">IFERROR(B25+1,"")</f>
        <v/>
      </c>
      <c r="C26" s="82"/>
    </row>
    <row r="27" spans="2:3" x14ac:dyDescent="0.25">
      <c r="B27" s="199" t="str">
        <f t="shared" si="3"/>
        <v/>
      </c>
      <c r="C27" s="82"/>
    </row>
    <row r="28" spans="2:3" x14ac:dyDescent="0.25">
      <c r="B28" s="199" t="str">
        <f t="shared" si="3"/>
        <v/>
      </c>
      <c r="C28" s="82"/>
    </row>
    <row r="29" spans="2:3" x14ac:dyDescent="0.25">
      <c r="B29" s="199" t="str">
        <f t="shared" si="3"/>
        <v/>
      </c>
      <c r="C29" s="82"/>
    </row>
    <row r="30" spans="2:3" x14ac:dyDescent="0.25">
      <c r="B30" s="199" t="str">
        <f t="shared" si="3"/>
        <v/>
      </c>
      <c r="C30" s="82"/>
    </row>
    <row r="31" spans="2:3" x14ac:dyDescent="0.25">
      <c r="B31" s="199" t="str">
        <f t="shared" si="3"/>
        <v/>
      </c>
      <c r="C31" s="82"/>
    </row>
    <row r="32" spans="2:3" x14ac:dyDescent="0.25">
      <c r="B32" s="199" t="str">
        <f t="shared" si="3"/>
        <v/>
      </c>
      <c r="C32" s="82"/>
    </row>
    <row r="33" spans="2:3" x14ac:dyDescent="0.25">
      <c r="B33" s="199" t="str">
        <f t="shared" si="3"/>
        <v/>
      </c>
      <c r="C33" s="82"/>
    </row>
    <row r="34" spans="2:3" x14ac:dyDescent="0.25">
      <c r="B34" s="199" t="str">
        <f t="shared" si="3"/>
        <v/>
      </c>
      <c r="C34" s="82"/>
    </row>
    <row r="35" spans="2:3" x14ac:dyDescent="0.25">
      <c r="B35" s="199" t="str">
        <f t="shared" si="3"/>
        <v/>
      </c>
      <c r="C35" s="82"/>
    </row>
    <row r="36" spans="2:3" x14ac:dyDescent="0.25">
      <c r="B36" s="199" t="str">
        <f t="shared" si="3"/>
        <v/>
      </c>
      <c r="C36" s="82"/>
    </row>
    <row r="37" spans="2:3" x14ac:dyDescent="0.25">
      <c r="B37" s="199" t="str">
        <f t="shared" si="3"/>
        <v/>
      </c>
      <c r="C37" s="82"/>
    </row>
    <row r="38" spans="2:3" x14ac:dyDescent="0.25">
      <c r="B38" s="199" t="str">
        <f t="shared" si="3"/>
        <v/>
      </c>
      <c r="C38" s="82"/>
    </row>
    <row r="39" spans="2:3" x14ac:dyDescent="0.25">
      <c r="B39" s="199" t="str">
        <f t="shared" si="3"/>
        <v/>
      </c>
      <c r="C39" s="82"/>
    </row>
    <row r="40" spans="2:3" x14ac:dyDescent="0.25">
      <c r="B40" s="199" t="str">
        <f>IFERROR(B39+1,"")</f>
        <v/>
      </c>
      <c r="C40" s="82"/>
    </row>
    <row r="41" spans="2:3" x14ac:dyDescent="0.25">
      <c r="B41" s="199" t="str">
        <f t="shared" si="3"/>
        <v/>
      </c>
      <c r="C41" s="82"/>
    </row>
    <row r="42" spans="2:3" x14ac:dyDescent="0.25">
      <c r="B42" s="199" t="str">
        <f t="shared" si="3"/>
        <v/>
      </c>
      <c r="C42" s="82"/>
    </row>
    <row r="43" spans="2:3" x14ac:dyDescent="0.25">
      <c r="B43" s="199" t="str">
        <f t="shared" si="3"/>
        <v/>
      </c>
      <c r="C43" s="82"/>
    </row>
    <row r="44" spans="2:3" x14ac:dyDescent="0.25">
      <c r="B44" s="199" t="str">
        <f t="shared" si="3"/>
        <v/>
      </c>
      <c r="C44" s="82"/>
    </row>
    <row r="45" spans="2:3" x14ac:dyDescent="0.25">
      <c r="B45" s="199" t="str">
        <f t="shared" si="3"/>
        <v/>
      </c>
      <c r="C45" s="82"/>
    </row>
    <row r="46" spans="2:3" x14ac:dyDescent="0.25">
      <c r="B46" s="199" t="str">
        <f t="shared" si="3"/>
        <v/>
      </c>
      <c r="C46" s="82"/>
    </row>
    <row r="47" spans="2:3" x14ac:dyDescent="0.25">
      <c r="B47" s="199" t="str">
        <f t="shared" si="3"/>
        <v/>
      </c>
      <c r="C47" s="82"/>
    </row>
    <row r="48" spans="2:3" x14ac:dyDescent="0.25">
      <c r="B48" s="199" t="str">
        <f t="shared" si="3"/>
        <v/>
      </c>
      <c r="C48" s="82"/>
    </row>
    <row r="49" spans="2:6" x14ac:dyDescent="0.25">
      <c r="B49" s="199" t="str">
        <f t="shared" si="3"/>
        <v/>
      </c>
      <c r="C49" s="82"/>
    </row>
    <row r="50" spans="2:6" x14ac:dyDescent="0.25">
      <c r="B50" s="199" t="str">
        <f t="shared" si="3"/>
        <v/>
      </c>
      <c r="C50" s="82"/>
    </row>
    <row r="51" spans="2:6" x14ac:dyDescent="0.25">
      <c r="B51" s="199" t="str">
        <f t="shared" si="3"/>
        <v/>
      </c>
      <c r="C51" s="82"/>
    </row>
    <row r="52" spans="2:6" x14ac:dyDescent="0.25">
      <c r="B52" s="199" t="str">
        <f t="shared" si="3"/>
        <v/>
      </c>
      <c r="C52" s="82"/>
    </row>
    <row r="53" spans="2:6" x14ac:dyDescent="0.25">
      <c r="B53" s="199" t="str">
        <f t="shared" si="3"/>
        <v/>
      </c>
      <c r="C53" s="82"/>
    </row>
    <row r="54" spans="2:6" ht="16.5" x14ac:dyDescent="0.25">
      <c r="B54" s="199" t="str">
        <f t="shared" si="3"/>
        <v/>
      </c>
      <c r="C54" s="82"/>
      <c r="F54" s="200"/>
    </row>
    <row r="55" spans="2:6" x14ac:dyDescent="0.25">
      <c r="B55" s="83" t="s">
        <v>596</v>
      </c>
      <c r="C55" s="42">
        <f>SUM(C24:C54)</f>
        <v>0</v>
      </c>
    </row>
    <row r="58" spans="2:6" x14ac:dyDescent="0.25">
      <c r="B58" s="332" t="s">
        <v>590</v>
      </c>
      <c r="C58" s="332"/>
      <c r="D58" s="201">
        <f ca="1">IFERROR(IF(C21="",C55,SUM(INDIRECT(ADDRESS(MATCH(C21,B24:B54,0)+23,3)):C54)),0)</f>
        <v>0</v>
      </c>
      <c r="E58" s="334" t="str">
        <f ca="1">"=      "&amp;IFERROR(DOLLAR(ROUND(D58/D59,2),2),"")</f>
        <v>=      $0.00</v>
      </c>
    </row>
    <row r="59" spans="2:6" x14ac:dyDescent="0.25">
      <c r="B59" s="332"/>
      <c r="C59" s="332"/>
      <c r="D59" s="26">
        <f ca="1">IFERROR(IF(C21="",30,COUNTA(INDIRECT(ADDRESS(MATCH(C21,B24:B54,0)+23,2)):B54)),0)</f>
        <v>30</v>
      </c>
      <c r="E59" s="334"/>
    </row>
  </sheetData>
  <mergeCells count="5">
    <mergeCell ref="B4:C4"/>
    <mergeCell ref="B14:C15"/>
    <mergeCell ref="E14:E15"/>
    <mergeCell ref="B58:C59"/>
    <mergeCell ref="E58:E5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PORTADA</vt:lpstr>
      <vt:lpstr>APEND6</vt:lpstr>
      <vt:lpstr>VACA</vt:lpstr>
      <vt:lpstr>HE</vt:lpstr>
      <vt:lpstr>AGUINALDO</vt:lpstr>
      <vt:lpstr>174</vt:lpstr>
      <vt:lpstr>DEDUCCION</vt:lpstr>
      <vt:lpstr>FCFDI</vt:lpstr>
      <vt:lpstr>DSDI</vt:lpstr>
      <vt:lpstr>SBC</vt:lpstr>
      <vt:lpstr>INFONAVIT</vt:lpstr>
      <vt:lpstr>Tablas LFT</vt:lpstr>
      <vt:lpstr>TARIFA</vt:lpstr>
      <vt:lpstr>COMPA</vt:lpstr>
      <vt:lpstr>TABLAV</vt:lpstr>
      <vt:lpstr>TARIFAC</vt:lpstr>
      <vt:lpstr>TMENSUAL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ALBERTO MONROY</cp:lastModifiedBy>
  <dcterms:created xsi:type="dcterms:W3CDTF">2026-07-21T16:55:15Z</dcterms:created>
  <dcterms:modified xsi:type="dcterms:W3CDTF">2026-07-24T17:14:48Z</dcterms:modified>
</cp:coreProperties>
</file>