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202300"/>
  <mc:AlternateContent xmlns:mc="http://schemas.openxmlformats.org/markup-compatibility/2006">
    <mc:Choice Requires="x15">
      <x15ac:absPath xmlns:x15ac="http://schemas.microsoft.com/office/spreadsheetml/2010/11/ac" url="\\amsy\AMS\KINGSTON NEGRA\CURSOS\CAFICON\2026\24-07-2026 NOMINA\"/>
    </mc:Choice>
  </mc:AlternateContent>
  <xr:revisionPtr revIDLastSave="0" documentId="13_ncr:1_{68C32B3C-F44E-4C6E-B7F2-907F7492DA03}" xr6:coauthVersionLast="47" xr6:coauthVersionMax="47" xr10:uidLastSave="{00000000-0000-0000-0000-000000000000}"/>
  <bookViews>
    <workbookView xWindow="165" yWindow="1275" windowWidth="20445" windowHeight="14250" tabRatio="804" xr2:uid="{9FF73FF3-1345-4374-A8B6-C9234995C3D8}"/>
  </bookViews>
  <sheets>
    <sheet name="PORTADA" sheetId="1" r:id="rId1"/>
    <sheet name="MENU" sheetId="16" r:id="rId2"/>
    <sheet name="INSTRUCCIONES" sheetId="23" r:id="rId3"/>
    <sheet name="APEND6" sheetId="17" r:id="rId4"/>
    <sheet name="PERCEPCION" sheetId="2" r:id="rId5"/>
    <sheet name="PERCEPCIONESO" sheetId="4" r:id="rId6"/>
    <sheet name="OPAGOS" sheetId="18" r:id="rId7"/>
    <sheet name="DEDUCCION" sheetId="13" r:id="rId8"/>
    <sheet name="PREVISION" sheetId="22" r:id="rId9"/>
    <sheet name="FACTOR" sheetId="20" r:id="rId10"/>
    <sheet name="FCFDI" sheetId="15" r:id="rId11"/>
    <sheet name="DSDI" sheetId="19" r:id="rId12"/>
    <sheet name="SBC" sheetId="7" r:id="rId13"/>
    <sheet name="INFONAVIT" sheetId="24" r:id="rId14"/>
    <sheet name="GENERAL" sheetId="3" r:id="rId15"/>
  </sheets>
  <definedNames>
    <definedName name="CONTRA">PORTADA!$I$2</definedName>
    <definedName name="TABLAV">GENERAL!$B$8:$D$18</definedName>
    <definedName name="TARIFAC">GENERAL!$L$6:$O$16</definedName>
    <definedName name="TARIFAM">GENERAL!$G$6:$J$16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3" l="1"/>
  <c r="M8" i="3"/>
  <c r="M9" i="3"/>
  <c r="M10" i="3"/>
  <c r="M11" i="3"/>
  <c r="M12" i="3"/>
  <c r="M13" i="3"/>
  <c r="M14" i="3"/>
  <c r="M15" i="3"/>
  <c r="M16" i="3"/>
  <c r="M6" i="3"/>
  <c r="N7" i="3"/>
  <c r="N8" i="3"/>
  <c r="N9" i="3"/>
  <c r="N10" i="3"/>
  <c r="N11" i="3"/>
  <c r="N12" i="3"/>
  <c r="N13" i="3"/>
  <c r="N14" i="3"/>
  <c r="N15" i="3"/>
  <c r="N16" i="3"/>
  <c r="N6" i="3"/>
  <c r="K7" i="24"/>
  <c r="L7" i="24" s="1"/>
  <c r="N7" i="24" s="1"/>
  <c r="K6" i="24"/>
  <c r="L6" i="24" s="1"/>
  <c r="N6" i="24" s="1"/>
  <c r="F5" i="24"/>
  <c r="H5" i="24"/>
  <c r="K5" i="24" s="1"/>
  <c r="L5" i="24" s="1"/>
  <c r="N5" i="24" s="1"/>
  <c r="D61" i="22"/>
  <c r="D48" i="22"/>
  <c r="D45" i="22"/>
  <c r="D52" i="22" s="1"/>
  <c r="D44" i="22"/>
  <c r="D50" i="22" s="1"/>
  <c r="E39" i="22"/>
  <c r="D47" i="22" s="1"/>
  <c r="D49" i="22" s="1"/>
  <c r="F9" i="22"/>
  <c r="F6" i="22"/>
  <c r="F39" i="22" s="1"/>
  <c r="D56" i="22" l="1"/>
  <c r="D55" i="22"/>
  <c r="D57" i="22" s="1"/>
  <c r="D63" i="22" s="1"/>
  <c r="D62" i="22" s="1"/>
  <c r="D71" i="22" l="1"/>
  <c r="H72" i="22" s="1"/>
  <c r="D64" i="22"/>
  <c r="G31" i="20" l="1"/>
  <c r="C39" i="20" s="1"/>
  <c r="F31" i="20"/>
  <c r="C38" i="20" s="1"/>
  <c r="D31" i="20"/>
  <c r="C31" i="20"/>
  <c r="C35" i="20" s="1"/>
  <c r="C47" i="20" s="1"/>
  <c r="H30" i="20"/>
  <c r="E30" i="20"/>
  <c r="H29" i="20"/>
  <c r="E29" i="20"/>
  <c r="H28" i="20"/>
  <c r="E28" i="20"/>
  <c r="H27" i="20"/>
  <c r="E27" i="20"/>
  <c r="H26" i="20"/>
  <c r="E26" i="20"/>
  <c r="H25" i="20"/>
  <c r="E25" i="20"/>
  <c r="H24" i="20"/>
  <c r="E24" i="20"/>
  <c r="H23" i="20"/>
  <c r="E23" i="20"/>
  <c r="H22" i="20"/>
  <c r="E22" i="20"/>
  <c r="H21" i="20"/>
  <c r="E21" i="20"/>
  <c r="H20" i="20"/>
  <c r="E20" i="20"/>
  <c r="H19" i="20"/>
  <c r="E19" i="20"/>
  <c r="H18" i="20"/>
  <c r="E18" i="20"/>
  <c r="H17" i="20"/>
  <c r="E17" i="20"/>
  <c r="H16" i="20"/>
  <c r="E16" i="20"/>
  <c r="H15" i="20"/>
  <c r="E15" i="20"/>
  <c r="H14" i="20"/>
  <c r="E14" i="20"/>
  <c r="H13" i="20"/>
  <c r="E13" i="20"/>
  <c r="H12" i="20"/>
  <c r="E12" i="20"/>
  <c r="H11" i="20"/>
  <c r="E11" i="20"/>
  <c r="H10" i="20"/>
  <c r="E10" i="20"/>
  <c r="H9" i="20"/>
  <c r="E9" i="20"/>
  <c r="H8" i="20"/>
  <c r="E8" i="20"/>
  <c r="H7" i="20"/>
  <c r="E7" i="20"/>
  <c r="H6" i="20"/>
  <c r="E6" i="20"/>
  <c r="H5" i="20"/>
  <c r="E5" i="20"/>
  <c r="H4" i="20"/>
  <c r="E4" i="20"/>
  <c r="C40" i="20" l="1"/>
  <c r="H31" i="20"/>
  <c r="C36" i="20"/>
  <c r="E31" i="20"/>
  <c r="C45" i="20" s="1"/>
  <c r="C37" i="20"/>
  <c r="C41" i="20" l="1"/>
  <c r="C42" i="20"/>
  <c r="C43" i="20" s="1"/>
  <c r="C44" i="20" s="1"/>
  <c r="C46" i="20" l="1"/>
  <c r="D86" i="7" l="1"/>
  <c r="D74" i="7"/>
  <c r="D75" i="7"/>
  <c r="D76" i="7"/>
  <c r="D77" i="7"/>
  <c r="D78" i="7"/>
  <c r="D79" i="7"/>
  <c r="D73" i="7"/>
  <c r="C70" i="7"/>
  <c r="D88" i="7" s="1"/>
  <c r="C49" i="7"/>
  <c r="D53" i="7"/>
  <c r="D54" i="7"/>
  <c r="D55" i="7"/>
  <c r="D56" i="7"/>
  <c r="D57" i="7"/>
  <c r="D58" i="7"/>
  <c r="D52" i="7"/>
  <c r="D59" i="7" s="1"/>
  <c r="D61" i="7" s="1"/>
  <c r="D63" i="7" l="1"/>
  <c r="D80" i="7"/>
  <c r="H16" i="7"/>
  <c r="I13" i="7"/>
  <c r="D7" i="7"/>
  <c r="B30" i="7" s="1"/>
  <c r="H14" i="7"/>
  <c r="J14" i="7" s="1"/>
  <c r="D27" i="7" s="1"/>
  <c r="D12" i="7"/>
  <c r="D6" i="19"/>
  <c r="D7" i="19"/>
  <c r="D8" i="19"/>
  <c r="D9" i="19"/>
  <c r="D10" i="19"/>
  <c r="D5" i="19"/>
  <c r="B9" i="19"/>
  <c r="B8" i="19"/>
  <c r="C8" i="19"/>
  <c r="C7" i="19"/>
  <c r="B7" i="19"/>
  <c r="D59" i="19"/>
  <c r="C55" i="19"/>
  <c r="C20" i="19"/>
  <c r="B24" i="19" s="1"/>
  <c r="G10" i="19"/>
  <c r="G9" i="19"/>
  <c r="G8" i="19"/>
  <c r="G7" i="19"/>
  <c r="G11" i="19" s="1"/>
  <c r="D14" i="19" s="1"/>
  <c r="G6" i="19"/>
  <c r="C6" i="19"/>
  <c r="B6" i="19"/>
  <c r="G5" i="19"/>
  <c r="D81" i="7" l="1"/>
  <c r="D82" i="7" s="1"/>
  <c r="D84" i="7" s="1"/>
  <c r="D11" i="19"/>
  <c r="D15" i="19" s="1"/>
  <c r="E14" i="19" s="1"/>
  <c r="B25" i="19"/>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D58" i="19" l="1"/>
  <c r="E58" i="19" l="1"/>
  <c r="C20" i="13" l="1"/>
  <c r="G24" i="13"/>
  <c r="L10" i="3"/>
  <c r="M2" i="3"/>
  <c r="L9" i="3" l="1"/>
  <c r="L14" i="3"/>
  <c r="L8" i="3"/>
  <c r="L7" i="3"/>
  <c r="L13" i="3" l="1"/>
  <c r="L16" i="3"/>
  <c r="L15" i="3"/>
  <c r="L11" i="3"/>
  <c r="L12" i="3" l="1"/>
  <c r="D283" i="2" l="1"/>
  <c r="D293" i="2" s="1"/>
  <c r="D278" i="2"/>
  <c r="D270" i="2"/>
  <c r="D266" i="2"/>
  <c r="D273" i="2" s="1"/>
  <c r="D246" i="2"/>
  <c r="D238" i="2"/>
  <c r="D210" i="2"/>
  <c r="D225" i="2" s="1"/>
  <c r="D209" i="2"/>
  <c r="D221" i="2" s="1"/>
  <c r="D208" i="2"/>
  <c r="D217" i="2" s="1"/>
  <c r="D195" i="2"/>
  <c r="E199" i="2"/>
  <c r="F199" i="2" s="1"/>
  <c r="E200" i="2"/>
  <c r="F200" i="2" s="1"/>
  <c r="E201" i="2"/>
  <c r="F201" i="2" s="1"/>
  <c r="E202" i="2"/>
  <c r="F202" i="2" s="1"/>
  <c r="E203" i="2"/>
  <c r="F203" i="2" s="1"/>
  <c r="E210" i="2" s="1"/>
  <c r="D226" i="2" s="1"/>
  <c r="E204" i="2"/>
  <c r="F204" i="2" s="1"/>
  <c r="E198" i="2"/>
  <c r="F198" i="2" s="1"/>
  <c r="E101" i="2"/>
  <c r="F89" i="2"/>
  <c r="E89" i="2"/>
  <c r="E42" i="2"/>
  <c r="D42" i="2" s="1"/>
  <c r="E70" i="2"/>
  <c r="C24" i="13"/>
  <c r="I12" i="13"/>
  <c r="I13" i="13"/>
  <c r="I14" i="13"/>
  <c r="I11" i="13"/>
  <c r="I10" i="13"/>
  <c r="D19" i="2"/>
  <c r="D13" i="2"/>
  <c r="C27" i="13" l="1"/>
  <c r="D277" i="2"/>
  <c r="D279" i="2"/>
  <c r="D274" i="2"/>
  <c r="D292" i="2" s="1"/>
  <c r="E209" i="2"/>
  <c r="D222" i="2" s="1"/>
  <c r="D219" i="2"/>
  <c r="D220" i="2"/>
  <c r="D215" i="2"/>
  <c r="D223" i="2"/>
  <c r="D224" i="2"/>
  <c r="D216" i="2"/>
  <c r="F205" i="2"/>
  <c r="E208" i="2"/>
  <c r="C30" i="13" l="1"/>
  <c r="C31" i="13" s="1"/>
  <c r="D280" i="2"/>
  <c r="E211" i="2"/>
  <c r="F209" i="2"/>
  <c r="D218" i="2"/>
  <c r="F208" i="2"/>
  <c r="I42" i="15"/>
  <c r="I38" i="15"/>
  <c r="I37" i="15"/>
  <c r="I36" i="15"/>
  <c r="I41" i="15" s="1"/>
  <c r="C32" i="13" l="1"/>
  <c r="E18" i="13" s="1"/>
  <c r="D281" i="2"/>
  <c r="D291" i="2"/>
  <c r="E214" i="2"/>
  <c r="D214" i="2" s="1"/>
  <c r="C179" i="13"/>
  <c r="D174" i="13"/>
  <c r="C178" i="13"/>
  <c r="C180" i="13" s="1"/>
  <c r="C182" i="13" s="1"/>
  <c r="E288" i="2" l="1"/>
  <c r="D288" i="2" s="1"/>
  <c r="D282" i="2"/>
  <c r="D284" i="2" s="1"/>
  <c r="D295" i="2" s="1"/>
  <c r="C142" i="13"/>
  <c r="C144" i="13" s="1"/>
  <c r="C146" i="13" s="1"/>
  <c r="C148" i="13" s="1"/>
  <c r="C150" i="13" s="1"/>
  <c r="C128" i="13"/>
  <c r="C130" i="13" s="1"/>
  <c r="C132" i="13" s="1"/>
  <c r="C134" i="13" s="1"/>
  <c r="C136" i="13" s="1"/>
  <c r="C114" i="13"/>
  <c r="C116" i="13" s="1"/>
  <c r="C118" i="13" s="1"/>
  <c r="C120" i="13" s="1"/>
  <c r="C103" i="13"/>
  <c r="C105" i="13"/>
  <c r="C102" i="13"/>
  <c r="C93" i="13"/>
  <c r="C90" i="13"/>
  <c r="B90" i="13"/>
  <c r="C87" i="13"/>
  <c r="C78" i="13"/>
  <c r="C79" i="13"/>
  <c r="C80" i="13"/>
  <c r="C81" i="13"/>
  <c r="C77" i="13"/>
  <c r="C58" i="13"/>
  <c r="C59" i="13" s="1"/>
  <c r="F51" i="13" s="1"/>
  <c r="G29" i="13"/>
  <c r="G27" i="13"/>
  <c r="E289" i="2" l="1"/>
  <c r="D294" i="2"/>
  <c r="C88" i="13"/>
  <c r="C91" i="13" s="1"/>
  <c r="C92" i="13" s="1"/>
  <c r="C94" i="13" s="1"/>
  <c r="C96" i="13" s="1"/>
  <c r="C104" i="13"/>
  <c r="C106" i="13" s="1"/>
  <c r="C108" i="13" s="1"/>
  <c r="G6" i="13"/>
  <c r="G30" i="13"/>
  <c r="C60" i="13"/>
  <c r="G7" i="13"/>
  <c r="I15" i="13"/>
  <c r="D289" i="2" l="1"/>
  <c r="E290" i="2"/>
  <c r="D290" i="2" s="1"/>
  <c r="D76" i="3" l="1"/>
  <c r="D75" i="3"/>
  <c r="D74" i="3"/>
  <c r="D38" i="7" l="1"/>
  <c r="D36" i="7"/>
  <c r="C41" i="7"/>
  <c r="B13" i="7"/>
  <c r="B31" i="7"/>
  <c r="D29" i="7"/>
  <c r="D28" i="7"/>
  <c r="H15" i="7"/>
  <c r="D26" i="7"/>
  <c r="D19" i="7"/>
  <c r="B39" i="7" l="1"/>
  <c r="B33" i="7"/>
  <c r="B35" i="7"/>
  <c r="B34" i="7"/>
  <c r="B36" i="7"/>
  <c r="B37" i="7"/>
  <c r="B38" i="7"/>
  <c r="B32" i="7"/>
  <c r="D38" i="2" l="1"/>
  <c r="C13" i="3"/>
  <c r="B14" i="3" s="1"/>
  <c r="B13" i="3"/>
  <c r="B12" i="3"/>
  <c r="B11" i="3"/>
  <c r="B10" i="3"/>
  <c r="D9" i="3"/>
  <c r="D10" i="3" s="1"/>
  <c r="D11" i="3" s="1"/>
  <c r="D12" i="3" s="1"/>
  <c r="D13" i="3" s="1"/>
  <c r="D14" i="3" s="1"/>
  <c r="D15" i="3" s="1"/>
  <c r="D16" i="3" s="1"/>
  <c r="D17" i="3" s="1"/>
  <c r="D18" i="3" s="1"/>
  <c r="B9" i="3"/>
  <c r="F36" i="2"/>
  <c r="G36" i="2"/>
  <c r="E36" i="2"/>
  <c r="D20" i="2"/>
  <c r="F13" i="2"/>
  <c r="D16" i="7" l="1"/>
  <c r="D24" i="7" s="1"/>
  <c r="D25" i="7" s="1"/>
  <c r="D21" i="2"/>
  <c r="D25" i="2" s="1"/>
  <c r="C14" i="3"/>
  <c r="E13" i="2"/>
  <c r="G13" i="2"/>
  <c r="D34" i="7" l="1"/>
  <c r="D32" i="7"/>
  <c r="B15" i="3"/>
  <c r="C15" i="3"/>
  <c r="D39" i="7" l="1"/>
  <c r="C16" i="3"/>
  <c r="B16" i="3"/>
  <c r="D251" i="2" s="1"/>
  <c r="E254" i="2" l="1"/>
  <c r="D254" i="2" s="1"/>
  <c r="C17" i="3"/>
  <c r="B17" i="3"/>
  <c r="C18" i="3" l="1"/>
  <c r="B1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F6" authorId="0" shapeId="0" xr:uid="{E84FD4DD-DFDE-4398-9B30-02CDB67B2869}">
      <text>
        <r>
          <rPr>
            <b/>
            <sz val="9"/>
            <color indexed="81"/>
            <rFont val="Tahoma"/>
            <family val="2"/>
          </rPr>
          <t xml:space="preserve">Apéndice 1 notas generales guía del SAT
Nota 11: En caso de que el trabajador reciba anticipo de salarios, el empleador deberá emitir un comprobante de nómina de tipo extraordinario en el cual se registre el importe del anticipo de sueldo con el clave tipo de percepción 038 "Otros ingresos por salarios". en el momento en el que se otorgan al trabajador, los descuentos que posteriormente se realicen vía nómina al trabajador, se registrarán utilizando la clave tipo deducción “012” (Anticipo de salarios), en los CFDI en los que se expidan cuando se registre el impuesto. </t>
        </r>
      </text>
    </comment>
    <comment ref="F8" authorId="0" shapeId="0" xr:uid="{375A8128-2FAF-4508-9102-B1932FD89AF9}">
      <text>
        <r>
          <rPr>
            <b/>
            <sz val="9"/>
            <color indexed="81"/>
            <rFont val="Tahoma"/>
            <family val="2"/>
          </rPr>
          <t>Artículo 82 LFT.- Salario es la retribución que debe pagar el patrón al trabajador por su trabajo.</t>
        </r>
      </text>
    </comment>
    <comment ref="F9" authorId="0" shapeId="0" xr:uid="{A26D0A3F-9BE5-4A50-815A-000492387E27}">
      <text>
        <r>
          <rPr>
            <b/>
            <sz val="9"/>
            <color indexed="81"/>
            <rFont val="Tahoma"/>
            <family val="2"/>
          </rPr>
          <t xml:space="preserve">Apéndice 1 notas generales, guía del SAT
Nota 3: En el caso de que se emita un comprobante fiscal de nómina que tenga errores consistentes en reflejar percepciones en exceso, se puede realizar su corrección de cualquiera de las siguientes formas: 
I. Cancelando el CFDI emitido con errores y expidiendo uno nuevo con los datos correctos. 
II. Reflejando como deducción el descuento de las percepciones en exceso, esto en el siguiente CFDI de nómina que se expida– siempre que sea en el mismo ejercicio fiscal-. </t>
        </r>
      </text>
    </comment>
    <comment ref="C208" authorId="0" shapeId="0" xr:uid="{1CF71F40-DB6F-41AF-BC50-4738F5DD0C81}">
      <text>
        <r>
          <rPr>
            <b/>
            <sz val="9"/>
            <color indexed="81"/>
            <rFont val="Tahoma"/>
            <family val="2"/>
          </rPr>
          <t>Artículo 65 LFT.-</t>
        </r>
        <r>
          <rPr>
            <sz val="9"/>
            <color indexed="81"/>
            <rFont val="Tahoma"/>
            <family val="2"/>
          </rPr>
          <t xml:space="preserve"> En los casos de siniestro o riesgo inminente en que peligre la vida del trabajador, de sus compañeros o del patrón, o la existencia misma de la empresa, la jornada de trabajo podrá prolongarse por el tiempo estrictamente indispensable para evitar esos males.</t>
        </r>
      </text>
    </comment>
    <comment ref="C209" authorId="0" shapeId="0" xr:uid="{34DD505E-8A93-44AC-8DF9-AC360C3EBCD6}">
      <text>
        <r>
          <rPr>
            <b/>
            <sz val="9"/>
            <color indexed="81"/>
            <rFont val="Tahoma"/>
            <family val="2"/>
          </rPr>
          <t>Artículo 66 LFT.-</t>
        </r>
        <r>
          <rPr>
            <sz val="9"/>
            <color indexed="81"/>
            <rFont val="Tahoma"/>
            <family val="2"/>
          </rPr>
          <t xml:space="preserve"> Podrá también prolongarse la jornada de trabajo por circunstancias extraordinarias, sin exceder nunca de tres horas diarias ni de tres veces en una semana.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C MM</author>
    <author>user</author>
  </authors>
  <commentList>
    <comment ref="B4" authorId="0" shapeId="0" xr:uid="{52320B57-8167-42BC-AFDE-D2F5E98FABBC}">
      <text>
        <r>
          <rPr>
            <b/>
            <sz val="9"/>
            <color indexed="10"/>
            <rFont val="Tahoma"/>
            <family val="2"/>
          </rPr>
          <t>Guía de llenado del CFDI de nómina (página 6)</t>
        </r>
        <r>
          <rPr>
            <b/>
            <sz val="9"/>
            <color indexed="81"/>
            <rFont val="Tahoma"/>
            <family val="2"/>
          </rPr>
          <t xml:space="preserve">
Es la fecha y hora de expedición del comprobante fiscal. Se expresa en la forma AAAA-MM-DDThh:mm:ss y debe corresponder con la hora local donde se expide el comprobante. 
Este dato lo integra el sistema que utiliza el ontribuyente para la emisión del comprobante fiscal</t>
        </r>
      </text>
    </comment>
    <comment ref="I4" authorId="0" shapeId="0" xr:uid="{5834A7E2-A6D8-44CE-9FF9-8B921872C3BD}">
      <text>
        <r>
          <rPr>
            <b/>
            <sz val="9"/>
            <color indexed="81"/>
            <rFont val="Tahoma"/>
            <family val="2"/>
          </rPr>
          <t>Guía de llenado del CFDI de nómina (página 13)
Se debe registrar la clave del Registro Federal de Contribuyentes del receptor (persona física) del comprobante.
La clave en el RFC debe estar contenida en la lista de RFC (I_RFC) inscritos no cancelados en el SAT. Debe ser de una persona física. La clave en el RFC debe ser correcta y corresponder a una persona efectivamente registrada en el SAT esto se validará por el SAT o proveedor de certificación de CFDI-, por lo que es muy importante validar las claves en el RFC de los trabajadores previamente a la generación del CFDI, ver la sección de Introducción del documento en dónde existe una liga directa a la herramienta del SAT de validación.
Nota: En caso de que el trabajador ya haya fallecido, se deberá registrar en este campo el RFC genérico XAXX010101000, debiendo registrar la CURP del trabajador fallecido en el campo “Curp” del Nodo: Receptor del Complemento de Nómina.</t>
        </r>
      </text>
    </comment>
    <comment ref="B7" authorId="0" shapeId="0" xr:uid="{246E30C3-7EBD-4ADA-A589-A326DE4FAC93}">
      <text>
        <r>
          <rPr>
            <b/>
            <sz val="9"/>
            <color indexed="81"/>
            <rFont val="Tahoma"/>
            <family val="2"/>
          </rPr>
          <t>Guía de llenado del CFDI de nómina (página 9)
Se debe registrar la clave PUE (Pago en una sola exhibición) del catálogo c_MetodoPago publicado en el Portal del SAT.
Ejemplo:
MetodoPago= PUE</t>
        </r>
      </text>
    </comment>
    <comment ref="E8" authorId="1" shapeId="0" xr:uid="{C903FCF8-AC9F-4C4D-A88B-DC42E5B761B4}">
      <text>
        <r>
          <rPr>
            <b/>
            <sz val="9"/>
            <color indexed="81"/>
            <rFont val="Tahoma"/>
            <family val="2"/>
          </rPr>
          <t>Atributo condicional para expresar el número de operación proporcionado por el SAT cuando se trate de un comprobante a través de un PCECFDI o un PCGCFDISP.</t>
        </r>
      </text>
    </comment>
    <comment ref="B9" authorId="0" shapeId="0" xr:uid="{6E9294F8-1D43-4CD5-99A8-50404B86C397}">
      <text>
        <r>
          <rPr>
            <b/>
            <sz val="9"/>
            <color indexed="10"/>
            <rFont val="Tahoma"/>
            <family val="2"/>
          </rPr>
          <t>Guía de llenado CFDI nómina (página 7)</t>
        </r>
        <r>
          <rPr>
            <b/>
            <sz val="9"/>
            <color indexed="81"/>
            <rFont val="Tahoma"/>
            <family val="2"/>
          </rPr>
          <t xml:space="preserve">
Se debe registrar el valor “MXN”.
Ejemplo:
Moneda= MXN
</t>
        </r>
      </text>
    </comment>
    <comment ref="I10" authorId="0" shapeId="0" xr:uid="{68C07232-3278-4D1B-A033-272E9D7C81AF}">
      <text>
        <r>
          <rPr>
            <b/>
            <sz val="9"/>
            <color indexed="10"/>
            <rFont val="Tahoma"/>
            <family val="2"/>
          </rPr>
          <t>Guía de llenado del CFDI de nómina (página 15)</t>
        </r>
        <r>
          <rPr>
            <b/>
            <sz val="9"/>
            <color indexed="81"/>
            <rFont val="Tahoma"/>
            <family val="2"/>
          </rPr>
          <t xml:space="preserve">
Se debe registrar la clave “CN01” (Nómina) del catálogo c_UsoCFDI publicado en el Portal del SAT.</t>
        </r>
      </text>
    </comment>
    <comment ref="B13" authorId="0" shapeId="0" xr:uid="{25C9E917-B164-4E10-8BDA-7FFF4B0B1475}">
      <text>
        <r>
          <rPr>
            <b/>
            <sz val="9"/>
            <color indexed="81"/>
            <rFont val="Tahoma"/>
            <family val="2"/>
          </rPr>
          <t>Guia de llenado del SAT CFDI de nómina (página 9)
Se debe registrar la clave “01” (No aplica).</t>
        </r>
      </text>
    </comment>
    <comment ref="B14" authorId="0" shapeId="0" xr:uid="{F19BA216-AEB6-43F5-AD12-160A40F19CEF}">
      <text>
        <r>
          <rPr>
            <b/>
            <sz val="9"/>
            <color indexed="10"/>
            <rFont val="Tahoma"/>
            <family val="2"/>
          </rPr>
          <t>Guía de llenado del CFDI de nómina (página 9)</t>
        </r>
        <r>
          <rPr>
            <b/>
            <sz val="9"/>
            <color indexed="81"/>
            <rFont val="Tahoma"/>
            <family val="2"/>
          </rPr>
          <t xml:space="preserve">
Se debe registrar la clave “N” (Nómina) con la que se identifica el tipo de comprobante fiscal para el contribuyente emisor.
Ejemplo:
TipoDeComprobante= N</t>
        </r>
      </text>
    </comment>
    <comment ref="B17" authorId="1" shapeId="0" xr:uid="{3AB256B4-696C-4FFC-88A0-59B11BE477D9}">
      <text>
        <r>
          <rPr>
            <b/>
            <sz val="9"/>
            <color indexed="81"/>
            <rFont val="Tahoma"/>
            <family val="2"/>
          </rPr>
          <t>Atributo requerido para indicar la clave de la relación que existe entre éste que se está generando y el o los CFDI previos</t>
        </r>
      </text>
    </comment>
    <comment ref="E17" authorId="1" shapeId="0" xr:uid="{CABDDBF0-92B0-493B-831B-7A25CC1F21DA}">
      <text>
        <r>
          <rPr>
            <b/>
            <sz val="9"/>
            <color indexed="81"/>
            <rFont val="Tahoma"/>
            <family val="2"/>
          </rPr>
          <t>Atributo requerido para registrar el folio fiscal (UUID) de un CFDI relacionado con el presente comprobante, por ejemplo: Si el CFDI relacionado es un comprobante de traslado que sirve para registrar el movimiento de la mercancía. Si este comprobante se usa como nota de crédito o nota de débito 
del comprobante relacionado. Si este comprobante es una devolución sobre el comprobante relacionado. Si éste sustituye a una factura cancelada.</t>
        </r>
      </text>
    </comment>
    <comment ref="B20" authorId="1" shapeId="0" xr:uid="{3974BFEF-1BD3-4AD7-BD47-BA4E784CFB79}">
      <text>
        <r>
          <rPr>
            <b/>
            <sz val="9"/>
            <color indexed="10"/>
            <rFont val="Tahoma"/>
            <family val="2"/>
          </rPr>
          <t>Guía de llenado del CFDI de nómina (página 16)</t>
        </r>
        <r>
          <rPr>
            <b/>
            <sz val="9"/>
            <color indexed="81"/>
            <rFont val="Tahoma"/>
            <family val="2"/>
          </rPr>
          <t xml:space="preserve">
Se debe registrar el valor “84111505”.
Ejemplo: 
ClaveProdServ= 84111505
</t>
        </r>
      </text>
    </comment>
    <comment ref="I20" authorId="0" shapeId="0" xr:uid="{E42CA4F2-EF85-43BE-A02E-61862F90E554}">
      <text>
        <r>
          <rPr>
            <b/>
            <sz val="9"/>
            <color indexed="10"/>
            <rFont val="Tahoma"/>
            <family val="2"/>
          </rPr>
          <t>Guía de llenado CFDI de nómina (página 16)</t>
        </r>
        <r>
          <rPr>
            <b/>
            <sz val="9"/>
            <color indexed="81"/>
            <rFont val="Tahoma"/>
            <family val="2"/>
          </rPr>
          <t xml:space="preserve">
Se debe registrar la clave “ACT”.
Ejemplo:
ClaveUnidad= AC</t>
        </r>
      </text>
    </comment>
    <comment ref="B22" authorId="2" shapeId="0" xr:uid="{C436E87E-D127-4D67-93DD-91E378F8CE9C}">
      <text>
        <r>
          <rPr>
            <b/>
            <sz val="9"/>
            <color indexed="81"/>
            <rFont val="Tahoma"/>
            <family val="2"/>
          </rPr>
          <t>Concepto de unidad de medida a utilizar en los CFDI
2.7.1.25. Para los efectos del artículo 29-A, fracción V, primer párrafo del CFF, los contribuyentes podrán señalar en los CFDI que emitan, la unidad de medida que utilicen conforme a los usos mercantiles.
 Asimismo, se deberá registrar la unidad de medida que corresponda con la Clave Unidad del Catálogo “Clave Unidad” señalada en el Anexo 20, en caso de que no se encuentre la clave específica de la unidad de medida que se utilizó conforme a los usos mercantiles los contribuyentes podrán señalar la clave que más se acerque o se asemeje.
 CFF 29-A</t>
        </r>
      </text>
    </comment>
    <comment ref="E22" authorId="0" shapeId="0" xr:uid="{CECC5FB9-B714-45AB-89C0-6F970BB18995}">
      <text>
        <r>
          <rPr>
            <b/>
            <sz val="9"/>
            <color indexed="10"/>
            <rFont val="Tahoma"/>
            <family val="2"/>
          </rPr>
          <t>Guía de llenado CFDI de nómina (página 16)</t>
        </r>
        <r>
          <rPr>
            <b/>
            <sz val="9"/>
            <color indexed="81"/>
            <rFont val="Tahoma"/>
            <family val="2"/>
          </rPr>
          <t xml:space="preserve">
Se debe registrar el valor “1”.
Ejemplo:
Cantidad= 1</t>
        </r>
      </text>
    </comment>
    <comment ref="I22" authorId="0" shapeId="0" xr:uid="{06BC253D-4932-4D43-8D71-997FF5963423}">
      <text>
        <r>
          <rPr>
            <b/>
            <sz val="9"/>
            <color indexed="10"/>
            <rFont val="Tahoma"/>
            <family val="2"/>
          </rPr>
          <t>Guía de llenado CFDI de nómina (página 17)</t>
        </r>
        <r>
          <rPr>
            <b/>
            <sz val="9"/>
            <color indexed="81"/>
            <rFont val="Tahoma"/>
            <family val="2"/>
          </rPr>
          <t xml:space="preserve">
Se debe registrar la suma de los campos TotalPercepciones más TotalOtrosPagos del Complemento Nómina.</t>
        </r>
      </text>
    </comment>
    <comment ref="B24" authorId="0" shapeId="0" xr:uid="{AB78CE19-7A33-4D80-B8A0-507478975E00}">
      <text>
        <r>
          <rPr>
            <b/>
            <sz val="9"/>
            <color indexed="10"/>
            <rFont val="Tahoma"/>
            <family val="2"/>
          </rPr>
          <t>Guía de llenado CFDI de nómina (página 17)</t>
        </r>
        <r>
          <rPr>
            <b/>
            <sz val="9"/>
            <color indexed="81"/>
            <rFont val="Tahoma"/>
            <family val="2"/>
          </rPr>
          <t xml:space="preserve">
Se debe registrar el valor “Pago de nómina”, este valor se debe registrar así, indistintamente de si trata de un rabajador asalariado o de un asimilado a salarios, toda vez que la información específica que denota si el comprobantecorresponde a un asalariado o asimilado a salarios se recisa dentro del complemento de nómina en los campos TipoContrato y TipoRegimen.
Ejemplo:
Descripcion= Pago de nómina</t>
        </r>
      </text>
    </comment>
    <comment ref="E24" authorId="0" shapeId="0" xr:uid="{4814E5A4-1BF5-4CB6-9EC9-F4DBEFE34510}">
      <text>
        <r>
          <rPr>
            <b/>
            <sz val="9"/>
            <color indexed="10"/>
            <rFont val="Tahoma"/>
            <family val="2"/>
          </rPr>
          <t>Guía de llenado CFDI de nómina (página 17)</t>
        </r>
        <r>
          <rPr>
            <b/>
            <sz val="9"/>
            <color indexed="81"/>
            <rFont val="Tahoma"/>
            <family val="2"/>
          </rPr>
          <t xml:space="preserve">
Se debe registrar la suma de los campos TotalPercepciones más TotalOtrosPagos del Complemento Nómina.</t>
        </r>
      </text>
    </comment>
    <comment ref="I24" authorId="0" shapeId="0" xr:uid="{DED648E7-11A8-4ECE-BB25-27F339ED3908}">
      <text>
        <r>
          <rPr>
            <b/>
            <sz val="9"/>
            <color indexed="10"/>
            <rFont val="Tahoma"/>
            <family val="2"/>
          </rPr>
          <t>Guía de llenado CFDI de nómina (página 17)</t>
        </r>
        <r>
          <rPr>
            <b/>
            <sz val="9"/>
            <color indexed="81"/>
            <rFont val="Tahoma"/>
            <family val="2"/>
          </rPr>
          <t xml:space="preserve">
Se debe registrar el valor del campo TotalDeducciones.</t>
        </r>
      </text>
    </comment>
    <comment ref="B26" authorId="0" shapeId="0" xr:uid="{C6C28A86-2E81-4664-8718-2B5FBB0BA1B9}">
      <text>
        <r>
          <rPr>
            <b/>
            <sz val="9"/>
            <color indexed="10"/>
            <rFont val="Tahoma"/>
            <family val="2"/>
          </rPr>
          <t>Guía de llenado CFDI de nómina (página 17)</t>
        </r>
        <r>
          <rPr>
            <b/>
            <sz val="9"/>
            <color indexed="81"/>
            <rFont val="Tahoma"/>
            <family val="2"/>
          </rPr>
          <t xml:space="preserve">
Se debe registrar la clave “01” (No objeto de impuesto).
Ejemplo:
ObjetoImp= 01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B32" authorId="0" shapeId="0" xr:uid="{679BBDAB-7F47-4DB5-9C8F-88C9377A6A3B}">
      <text>
        <r>
          <rPr>
            <b/>
            <sz val="9"/>
            <color indexed="81"/>
            <rFont val="Tahoma"/>
            <family val="2"/>
          </rPr>
          <t>Modificación decreto (D.O.F.) 31/12/2024 edición vespertina)
Transitorio
SEGUNDO. Para los efectos del Artículo Segundo, párrafos primero, tercero, cuarto y quinto del presente decreto, para calcular el Subsidio para el Empleo correspondiente al mes de enero de 2025, el valor mensual de la Unidad de Medida y Actualización se deberá multiplicar por 14.39%, en sustitución del porcentaje de 13.8%.</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<sst xmlns="http://schemas.openxmlformats.org/spreadsheetml/2006/main" count="2012" uniqueCount="842">
  <si>
    <t>c_TipoPercepcion</t>
  </si>
  <si>
    <t>Descripción</t>
  </si>
  <si>
    <t>Sueldos, Salarios  Rayas y Jornales</t>
  </si>
  <si>
    <t>Gratificación Anual (Aguinaldo)</t>
  </si>
  <si>
    <t>Participación de los Trabajadores en las Utilidades PTU</t>
  </si>
  <si>
    <t>Reembolso de Gastos Médicos Dentales y Hospitalarios</t>
  </si>
  <si>
    <t>Fondo de Ahorro</t>
  </si>
  <si>
    <t>Caja de ahorro</t>
  </si>
  <si>
    <t>Contribuciones a Cargo del Trabajador Pagadas por el Patrón</t>
  </si>
  <si>
    <t>Premios por puntualidad</t>
  </si>
  <si>
    <t>Prima de Seguro de vida</t>
  </si>
  <si>
    <t>Seguro de Gastos Médicos Mayores</t>
  </si>
  <si>
    <t>Cuotas Sindicales Pagadas por el Patrón</t>
  </si>
  <si>
    <t>Subsidios por incapacidad</t>
  </si>
  <si>
    <t>Becas para trabajadores y/o hijos</t>
  </si>
  <si>
    <t>Horas extra</t>
  </si>
  <si>
    <t>Prima dominical</t>
  </si>
  <si>
    <t>Prima vacacional</t>
  </si>
  <si>
    <t>Prima por antigüedad</t>
  </si>
  <si>
    <t>Pagos por separación</t>
  </si>
  <si>
    <t>Seguro de retiro</t>
  </si>
  <si>
    <t>Indemnizaciones</t>
  </si>
  <si>
    <t>Reembolso por funeral</t>
  </si>
  <si>
    <t>Cuotas de seguridad social pagadas por el patrón</t>
  </si>
  <si>
    <t>Comisiones</t>
  </si>
  <si>
    <t>Vales de despensa</t>
  </si>
  <si>
    <t>Vales de restaurante</t>
  </si>
  <si>
    <t>Vales de gasolina</t>
  </si>
  <si>
    <t>Vales de ropa</t>
  </si>
  <si>
    <t>Ayuda para renta</t>
  </si>
  <si>
    <t>Ayuda para artículos escolares</t>
  </si>
  <si>
    <t>Ayuda para anteojos</t>
  </si>
  <si>
    <t>Ayuda para transporte</t>
  </si>
  <si>
    <t>Ayuda para gastos de funeral</t>
  </si>
  <si>
    <t>Otros ingresos por salarios</t>
  </si>
  <si>
    <t>Jubilaciones, pensiones o haberes de retiro</t>
  </si>
  <si>
    <t>Jubilaciones, pensiones o haberes de retiro en parcialidades</t>
  </si>
  <si>
    <t>Ingresos en acciones o títulos valor que representan bienes</t>
  </si>
  <si>
    <t> 046</t>
  </si>
  <si>
    <t>Ingresos asimilados a salarios</t>
  </si>
  <si>
    <t> 047</t>
  </si>
  <si>
    <r>
      <t xml:space="preserve">Alimentación </t>
    </r>
    <r>
      <rPr>
        <sz val="11"/>
        <color indexed="8"/>
        <rFont val="Arial"/>
        <family val="2"/>
      </rPr>
      <t>diferentes a los establecidos en el Art 94 último párrafo LISR</t>
    </r>
  </si>
  <si>
    <t>Habitación</t>
  </si>
  <si>
    <t>Premios por asistencia</t>
  </si>
  <si>
    <t>Viáticos</t>
  </si>
  <si>
    <t>Pagos por gratificaciones, primas, compensaciones, recompensas u otros a extrabajadores derivados de jubilación en parcialidades</t>
  </si>
  <si>
    <t>Pagos que se realicen a extrabajadores que obtengan una jubilación en parcialidades derivados de la ejecución de resoluciones judicial o de un laudo</t>
  </si>
  <si>
    <t>Pagos que se realicen a extrabajadores que obtengan una jubilación en una sola exhibición derivados de la ejecución de resoluciones judicial o de un laudo</t>
  </si>
  <si>
    <t>Tipo de nómina</t>
  </si>
  <si>
    <t>Tipo de percepción</t>
  </si>
  <si>
    <t>O = Ordinaria</t>
  </si>
  <si>
    <t>LFT</t>
  </si>
  <si>
    <t>LSS</t>
  </si>
  <si>
    <t>LINFONAVIT</t>
  </si>
  <si>
    <t>Sí</t>
  </si>
  <si>
    <t>Se contrata a un trabajador con un salario mensual de:</t>
  </si>
  <si>
    <t>(/)</t>
  </si>
  <si>
    <t>(=) Salario diario</t>
  </si>
  <si>
    <t>Periodicidad de pago</t>
  </si>
  <si>
    <t>(-) Faltas</t>
  </si>
  <si>
    <t>(=) Días por pagar</t>
  </si>
  <si>
    <t>(-) Parte proporcional del séptimo día</t>
  </si>
  <si>
    <t>(=) Días trabajados</t>
  </si>
  <si>
    <t>Salario diario del trabajador</t>
  </si>
  <si>
    <t>Gravado</t>
  </si>
  <si>
    <t>Exento</t>
  </si>
  <si>
    <t>E =Extraordinaria</t>
  </si>
  <si>
    <t>Días de aguinaldo que otorga la empresa</t>
  </si>
  <si>
    <t>Valor de la UMA</t>
  </si>
  <si>
    <t>Valor de la UMA a la fecha de pago</t>
  </si>
  <si>
    <r>
      <t xml:space="preserve">Salario es la retribución que debe pagar el patrón al trabajador por su trabajo
</t>
    </r>
    <r>
      <rPr>
        <b/>
        <sz val="11"/>
        <color rgb="FFFFFFCC"/>
        <rFont val="Aptos Narrow"/>
        <family val="2"/>
        <scheme val="minor"/>
      </rPr>
      <t>Fundamento</t>
    </r>
    <r>
      <rPr>
        <sz val="11"/>
        <color rgb="FFFFFFCC"/>
        <rFont val="Aptos Narrow"/>
        <family val="2"/>
        <scheme val="minor"/>
      </rPr>
      <t>: Artículo 82 LFT</t>
    </r>
  </si>
  <si>
    <r>
      <t xml:space="preserve">Salario mínimo es la cantidad menor que debe recibir en efectivo la persona trabajadora por los servicios prestados en una jornada de trabajo.
</t>
    </r>
    <r>
      <rPr>
        <b/>
        <sz val="11"/>
        <color rgb="FFFFFFCC"/>
        <rFont val="Aptos Narrow"/>
        <family val="2"/>
        <scheme val="minor"/>
      </rPr>
      <t>Fundamento:</t>
    </r>
    <r>
      <rPr>
        <sz val="11"/>
        <color rgb="FFFFFFCC"/>
        <rFont val="Aptos Narrow"/>
        <family val="2"/>
        <scheme val="minor"/>
      </rPr>
      <t xml:space="preserve"> Artículo 90 primer párrafo LFT</t>
    </r>
  </si>
  <si>
    <r>
      <rPr>
        <b/>
        <sz val="11"/>
        <color rgb="FFFFFFCC"/>
        <rFont val="Aptos Narrow"/>
        <family val="2"/>
        <scheme val="minor"/>
      </rPr>
      <t>Artículo 27 primer párrafo LSS.</t>
    </r>
    <r>
      <rPr>
        <sz val="11"/>
        <color rgb="FFFFFFCC"/>
        <rFont val="Aptos Narrow"/>
        <family val="2"/>
        <scheme val="minor"/>
      </rPr>
      <t xml:space="preserve"> El salario base de cotización se integra con los pagos hechos en efectivo por cuota diaria, gratificaciones, percepciones, alimentación, habitación, primas, comisiones, prestaciones en especie y cualquiera otra cantidad o prestación que se entregue al trabajador por su trabajo. Se excluyen como integrantes del salario base de cotización, dada su naturaleza, los siguientes conceptos:</t>
    </r>
  </si>
  <si>
    <r>
      <rPr>
        <b/>
        <sz val="11"/>
        <color rgb="FFFFFFCC"/>
        <rFont val="Aptos Narrow"/>
        <family val="2"/>
        <scheme val="minor"/>
      </rPr>
      <t>ARTÍCULO 32 primer párrafo</t>
    </r>
    <r>
      <rPr>
        <sz val="11"/>
        <color rgb="FFFFFFCC"/>
        <rFont val="Aptos Narrow"/>
        <family val="2"/>
        <scheme val="minor"/>
      </rPr>
      <t>. Para los efectos del pago de las aportaciones, determinación y entero de los descuentos que establece la Ley, el salario base de aportación se integra con los pagos en efectivo por cuota diaria, gratificaciones, percepciones, alimentación, habitación, primas, comisiones, prestaciones en especie y cualquier otra cantidad o prestación que se entregue al trabajador por su trabajo.</t>
    </r>
  </si>
  <si>
    <r>
      <t xml:space="preserve">Artículo 69 LFT.- </t>
    </r>
    <r>
      <rPr>
        <sz val="11"/>
        <color rgb="FFFFFFCC"/>
        <rFont val="Aptos Narrow"/>
        <family val="2"/>
        <scheme val="minor"/>
      </rPr>
      <t>Por cada seis días de trabajo disfrutará el trabajador de un día de descanso, por lo menos, con goce de salario íntegro.</t>
    </r>
  </si>
  <si>
    <r>
      <t xml:space="preserve">Artículo 72 LFT.- </t>
    </r>
    <r>
      <rPr>
        <sz val="11"/>
        <color rgb="FFFFFFCC"/>
        <rFont val="Aptos Narrow"/>
        <family val="2"/>
        <scheme val="minor"/>
      </rPr>
      <t>Cuando el trabajador no preste sus servicios durante todos los días de trabajo de la semana, o cuando en el mismo día o en la misma semana preste sus servicios a varios patrones, tendrá derecho a que se le pague la parte proporcional del salario de los días de descanso, calculada sobre el salario de los días en que hubiese trabajado o sobre el que hubiese percibido de cada patrón.</t>
    </r>
  </si>
  <si>
    <r>
      <t>Artículo 87 LFT.-</t>
    </r>
    <r>
      <rPr>
        <sz val="11"/>
        <color rgb="FFFFFFCC"/>
        <rFont val="Aptos Narrow"/>
        <family val="2"/>
        <scheme val="minor"/>
      </rPr>
      <t xml:space="preserve"> Los trabajadores tendrán derecho a un aguinaldo anual que deberá pagarse antes del día veinte de diciembre, equivalente a quince días de salario, por lo menos.
Los que no hayan cumplido el año de servicios, independientemente de que se encuentren laborando o no en la fecha de liquidación del aguinaldo, tendrán derecho a que se les pague la parte proporcional del mismo, conforme al tiempo que hubieren trabajado, cualquiera que fuere éste.</t>
    </r>
  </si>
  <si>
    <t>Tabla de vacaciones para trabajadores de no buques (art. 76 LFT)</t>
  </si>
  <si>
    <t>Años</t>
  </si>
  <si>
    <t>Mínimo</t>
  </si>
  <si>
    <t>Máximo</t>
  </si>
  <si>
    <t>Días</t>
  </si>
  <si>
    <t>Salario mínimo</t>
  </si>
  <si>
    <t>Zona Libre de la Frontera Norte</t>
  </si>
  <si>
    <t>Zona del Salario Mínimo General</t>
  </si>
  <si>
    <t>Enero</t>
  </si>
  <si>
    <t>Febrero en adelante</t>
  </si>
  <si>
    <t>Valor de la UMA mensual enero</t>
  </si>
  <si>
    <t>Valor de la UMA mensual posterior</t>
  </si>
  <si>
    <t>Total base ISR para subsidio</t>
  </si>
  <si>
    <t>% del subsidio al empleo</t>
  </si>
  <si>
    <t>% Subsidio al empleo Enero</t>
  </si>
  <si>
    <t>Zona del salario mínimo</t>
  </si>
  <si>
    <t>Con excepción</t>
  </si>
  <si>
    <t>No</t>
  </si>
  <si>
    <r>
      <rPr>
        <b/>
        <sz val="11"/>
        <color theme="1"/>
        <rFont val="Aptos Narrow"/>
        <family val="2"/>
        <scheme val="minor"/>
      </rPr>
      <t>Artículo 93 LISR</t>
    </r>
    <r>
      <rPr>
        <sz val="11"/>
        <color theme="1"/>
        <rFont val="Aptos Narrow"/>
        <family val="2"/>
        <scheme val="minor"/>
      </rPr>
      <t>. No se pagará el impuesto sobre la renta por la obtención de los siguientes ingresos:
XIV. Las gratificaciones que reciban los trabajadores de sus patrones, durante un año de calendario, hasta el equivalente del salario mínimo general del área geográfica del trabajador elevado a 30 días, cuando dichas gratificaciones se otorguen en forma general; así como las primas vacacionales que otorguen los patrones durante el año de calendario a sus trabajadores en forma general y la participación de los trabajadores en las utilidades de las empresas, hasta por el equivalente a 15 días de salario mínimo general del área geográfica del trabajador, por cada uno de los conceptos señalados. Tratándose de primas dominicales hasta por el equivalente de un salario mínimo general del área geográfica del trabajador por cada domingo que se labore.</t>
    </r>
  </si>
  <si>
    <t>Anticipo de salarios</t>
  </si>
  <si>
    <t>Pagos hechos con exceso al trabajador</t>
  </si>
  <si>
    <t>Ausencia (Ausentismo)</t>
  </si>
  <si>
    <t>Ajuste a ingresos por sueldos y salarios gravados</t>
  </si>
  <si>
    <t>Ajuste en Gratificación Anual (Aguinaldo) Exento</t>
  </si>
  <si>
    <t>Ajuste en Gratificación Anual (Aguinaldo) Gravado</t>
  </si>
  <si>
    <t>Ajuste en Participación de los Trabajadores en las Utilidades PTU Exento</t>
  </si>
  <si>
    <t>Ajuste en Participación de los Trabajadores en las Utilidades PTU Gravado</t>
  </si>
  <si>
    <t>Ajuste en Reembolso de Gastos Médicos Dentales y Hospitalarios Exento</t>
  </si>
  <si>
    <t>Ajuste en Fondo de ahorro Exento</t>
  </si>
  <si>
    <t>Ajuste en Fondo de ahorro Gravado</t>
  </si>
  <si>
    <t>Ajuste en Caja de ahorro Exento</t>
  </si>
  <si>
    <t>Ajuste en Caja de ahorro Gravado</t>
  </si>
  <si>
    <t>Ajuste en Prima de Seguro de vida Exento</t>
  </si>
  <si>
    <t>Ajuste en Prima de Seguro de vida Gravado</t>
  </si>
  <si>
    <t>Ajuste en Seguro de Gastos Médicos Mayores Exento</t>
  </si>
  <si>
    <t>Ajuste en Seguro de Gastos Médicos Mayores Gravado</t>
  </si>
  <si>
    <t>Ajuste en Subsidios por incapacidad Exento</t>
  </si>
  <si>
    <t>Ajuste en Subsidios por incapacidad Gravado</t>
  </si>
  <si>
    <t>Ajuste en Becas para trabajadores y/o hijos Exento</t>
  </si>
  <si>
    <t>Ajuste en Becas para trabajadores y/o hijos Gravado</t>
  </si>
  <si>
    <t>Ajuste en Prima vacacional Exento</t>
  </si>
  <si>
    <t>Ajuste en Prima vacacional Gravado</t>
  </si>
  <si>
    <t>Ajuste en Reembolso por funeral Exento</t>
  </si>
  <si>
    <t>Ajuste en Vales de despensa Exento</t>
  </si>
  <si>
    <t>Ajuste en Vales de despensa Gravado</t>
  </si>
  <si>
    <t>Ajuste en Vales de restaurante Exento</t>
  </si>
  <si>
    <t>Ajuste en Vales de restaurante Gravado</t>
  </si>
  <si>
    <t>Ajuste en Vales de gasolina Exento</t>
  </si>
  <si>
    <t>Ajuste en Vales de gasolina Gravado</t>
  </si>
  <si>
    <t>Ajuste en Vales de ropa Exento</t>
  </si>
  <si>
    <t>Ajuste en Vales de ropa Gravado</t>
  </si>
  <si>
    <t>Ajuste en Ayuda para renta Exento</t>
  </si>
  <si>
    <t>Ajuste en Ayuda para renta Gravado</t>
  </si>
  <si>
    <t>Ajuste en Ayuda para artículos escolares Exento</t>
  </si>
  <si>
    <t>Ajuste en Ayuda para artículos escolares Gravado</t>
  </si>
  <si>
    <t>Ajuste en Ayuda para transporte Exento</t>
  </si>
  <si>
    <t>Ajuste en Ayuda para transporte Gravado</t>
  </si>
  <si>
    <t>Ajuste en Ayuda para gastos de funeral Exento</t>
  </si>
  <si>
    <t>Ajuste en Ayuda para gastos de funeral Gravado</t>
  </si>
  <si>
    <t>Ajuste en Otros ingresos por salarios Exento</t>
  </si>
  <si>
    <t>Ajuste en Otros ingresos por salarios Gravado</t>
  </si>
  <si>
    <t>Ajuste en Alimentación Exento</t>
  </si>
  <si>
    <t>Ajuste en Alimentación Gravado</t>
  </si>
  <si>
    <t>Ajuste en Habitación Exento</t>
  </si>
  <si>
    <t>Ajuste en Habitación Gravado</t>
  </si>
  <si>
    <t>Clasificación apéndice seis guía de llenado del SAT</t>
  </si>
  <si>
    <t>Límite exención</t>
  </si>
  <si>
    <t>a</t>
  </si>
  <si>
    <t>r</t>
  </si>
  <si>
    <t>No aplica</t>
  </si>
  <si>
    <t>Salario diario</t>
  </si>
  <si>
    <t>Fecha de ingreso</t>
  </si>
  <si>
    <t>Fecha de cálculo</t>
  </si>
  <si>
    <r>
      <rPr>
        <b/>
        <sz val="11"/>
        <color theme="1"/>
        <rFont val="Aptos Narrow"/>
        <family val="2"/>
        <scheme val="minor"/>
      </rPr>
      <t xml:space="preserve">Artículo 96 primer párrafo LISR. </t>
    </r>
    <r>
      <rPr>
        <sz val="11"/>
        <color theme="1"/>
        <rFont val="Aptos Narrow"/>
        <family val="2"/>
        <scheme val="minor"/>
      </rPr>
      <t xml:space="preserve">Quienes hagan pagos por los conceptos a que se refiere este Capítulo están obligados a efectuar retenciones y enteros mensuales que tendrán el carácter de pagos provisionales a cuenta del impuesto anual. No se efectuará retención a las personas que en el mes únicamente perciban un salario mínimo general correspondiente al área geográfica del contribuyente.
</t>
    </r>
    <r>
      <rPr>
        <b/>
        <sz val="11"/>
        <color theme="1"/>
        <rFont val="Aptos Narrow"/>
        <family val="2"/>
        <scheme val="minor"/>
      </rPr>
      <t>Artículo 38 LSS</t>
    </r>
    <r>
      <rPr>
        <sz val="11"/>
        <color theme="1"/>
        <rFont val="Aptos Narrow"/>
        <family val="2"/>
        <scheme val="minor"/>
      </rPr>
      <t>. El patrón al efectuar el pago de salarios a sus trabajadores, deberá retener las cuotas que a éstos les corresponde cubrir.
Cuando no lo haga en tiempo oportuno, sólo podrá descontar al trabajador cuatro cotizaciones semanales acumuladas, quedando las restantes a su cargo.
El patrón tendrá el carácter de retenedor de las cuotas que descuente a sus trabajadores y deberá determinar y enterar al Instituto las cuotas obrero patronales, en los términos establecidos por esta Ley y sus reglamentos.</t>
    </r>
  </si>
  <si>
    <t>Tipo de horas</t>
  </si>
  <si>
    <t>c_TipoHoras</t>
  </si>
  <si>
    <t>Dobles</t>
  </si>
  <si>
    <t>Triples</t>
  </si>
  <si>
    <t>Simples</t>
  </si>
  <si>
    <t>Importe pagado</t>
  </si>
  <si>
    <r>
      <rPr>
        <b/>
        <sz val="11"/>
        <color theme="1"/>
        <rFont val="Aptos Narrow"/>
        <family val="2"/>
        <scheme val="minor"/>
      </rPr>
      <t>Artículo 93 LISR</t>
    </r>
    <r>
      <rPr>
        <sz val="11"/>
        <color theme="1"/>
        <rFont val="Aptos Narrow"/>
        <family val="2"/>
        <scheme val="minor"/>
      </rPr>
      <t>. No se pagará el impuesto sobre la renta por la obtención de los siguientes ingresos:
XII. La cuota de seguridad social de los trabajadores pagada por los patrones.</t>
    </r>
  </si>
  <si>
    <t>90 UMA's elevadas al año
Art. 171 RLISR</t>
  </si>
  <si>
    <t>90 UMA's por año de servicio
Art. 93 fracción XIII LISR</t>
  </si>
  <si>
    <t>N/A</t>
  </si>
  <si>
    <t>90 UMA's por año de servicio
Art. 93, fracción Xlll</t>
  </si>
  <si>
    <t>Ajuste en Contribuciones a Cargo del Trabajador Pagadas por el Patrón Exento</t>
  </si>
  <si>
    <t>Ajuste en Premios por puntualidad Gravado</t>
  </si>
  <si>
    <t>Ajuste en Premios por asistencia</t>
  </si>
  <si>
    <t>Ajuste en Comisiones Gravado</t>
  </si>
  <si>
    <t>Ajuste en Horas extra Exento</t>
  </si>
  <si>
    <t>Ajuste en Horas extra Gravado</t>
  </si>
  <si>
    <t>Ajuste en Prima dominical Exento</t>
  </si>
  <si>
    <t>Ajuste en Prima dominical Gravado</t>
  </si>
  <si>
    <t>Ajuste en Cuotas de seguridad social pagadas por el patrón Exento</t>
  </si>
  <si>
    <t>Ajuste en Viáticos gravados</t>
  </si>
  <si>
    <t>Ajuste en Viáticos exentos</t>
  </si>
  <si>
    <t>Día</t>
  </si>
  <si>
    <t>Último sueldo mensual ordinario</t>
  </si>
  <si>
    <t>Días de vacaciones que le corresponden</t>
  </si>
  <si>
    <t>Prima de antigüedad</t>
  </si>
  <si>
    <t>(-) Ingreso exento</t>
  </si>
  <si>
    <t>(=) Ingreso acumulable</t>
  </si>
  <si>
    <t>Plantilla para Determinar el Salario Base de Cotización (SBC) - México</t>
  </si>
  <si>
    <t>Salario diario pactado (SD)</t>
  </si>
  <si>
    <t>Aguinaldo (días por año)</t>
  </si>
  <si>
    <t>Vacaciones (días por año)</t>
  </si>
  <si>
    <t>Prima vacacional (%)</t>
  </si>
  <si>
    <t>UMA diaria (ingrese la vigente)</t>
  </si>
  <si>
    <t>Factor de integración (FI) por prestaciones mínimas:</t>
  </si>
  <si>
    <t>Salario fijo integrado diario (SDI fijo) = SD × FI</t>
  </si>
  <si>
    <t>Tope diario IMSS = 25 × UMA diaria</t>
  </si>
  <si>
    <t>Otras prestaciones fijas prviamente conocidas</t>
  </si>
  <si>
    <t>% Fondo de ahorro</t>
  </si>
  <si>
    <t>Patrón</t>
  </si>
  <si>
    <t>Trabajador</t>
  </si>
  <si>
    <t>Alimentación que se otorga</t>
  </si>
  <si>
    <t>Despensa otrogada $</t>
  </si>
  <si>
    <t>Fondo de ahorro</t>
  </si>
  <si>
    <t>Alimentación</t>
  </si>
  <si>
    <t>Despensa</t>
  </si>
  <si>
    <t>Límite inferior</t>
  </si>
  <si>
    <t>Límite superior</t>
  </si>
  <si>
    <t>Cuota fija</t>
  </si>
  <si>
    <t>Por ciento para aplicarse sobre el excedente del límite inferior</t>
  </si>
  <si>
    <t>$</t>
  </si>
  <si>
    <t>%</t>
  </si>
  <si>
    <t>En adelante</t>
  </si>
  <si>
    <t>SBC</t>
  </si>
  <si>
    <t>¿Previsión social?</t>
  </si>
  <si>
    <t>(=) ISR a retener</t>
  </si>
  <si>
    <t>(=) Cuota diaria</t>
  </si>
  <si>
    <t>Ingreso base para ISR</t>
  </si>
  <si>
    <t>Febrero</t>
  </si>
  <si>
    <t>Marzo</t>
  </si>
  <si>
    <t>Abril</t>
  </si>
  <si>
    <t>Mayo</t>
  </si>
  <si>
    <t>Junio</t>
  </si>
  <si>
    <t>Julio</t>
  </si>
  <si>
    <t>Agosto</t>
  </si>
  <si>
    <t>Septiembre</t>
  </si>
  <si>
    <t>Octubre</t>
  </si>
  <si>
    <t>Noviembre</t>
  </si>
  <si>
    <t>Diciembre</t>
  </si>
  <si>
    <t>Tipo</t>
  </si>
  <si>
    <t>Seguridad social</t>
  </si>
  <si>
    <t>ISR</t>
  </si>
  <si>
    <t>Aportaciones a retiro, cesantía en edad avanzada y vejez.</t>
  </si>
  <si>
    <t>Otros</t>
  </si>
  <si>
    <t>Aportaciones a Fondo de vivienda</t>
  </si>
  <si>
    <t>Descuento por incapacidad</t>
  </si>
  <si>
    <t>Pensión alimenticia</t>
  </si>
  <si>
    <t>Renta</t>
  </si>
  <si>
    <t>Préstamos provenientes del Fondo Nacional de la Vivienda para los Trabajadores</t>
  </si>
  <si>
    <t>Pago por crédito de vivienda</t>
  </si>
  <si>
    <t>Pago de abonos INFONACOT</t>
  </si>
  <si>
    <t>Errores</t>
  </si>
  <si>
    <t>Pérdidas</t>
  </si>
  <si>
    <t>Averías</t>
  </si>
  <si>
    <t>Adquisición de artículos producidos por la empresa o establecimiento</t>
  </si>
  <si>
    <t>Cuotas para la constitución y fomento de sociedades cooperativas y de cajas de ahorro</t>
  </si>
  <si>
    <t>Cuotas sindicales</t>
  </si>
  <si>
    <t>Cuotas obrero patronales</t>
  </si>
  <si>
    <t>Impuestos Locales</t>
  </si>
  <si>
    <t>Aportaciones voluntarias</t>
  </si>
  <si>
    <t>Ajuste en Ayuda para anteojos Exento</t>
  </si>
  <si>
    <t>Ajuste en Ayuda para anteojos Gravado</t>
  </si>
  <si>
    <t>Deducción</t>
  </si>
  <si>
    <t>Importe</t>
  </si>
  <si>
    <t>082</t>
  </si>
  <si>
    <t>Concepto</t>
  </si>
  <si>
    <t>Tasa trabajador</t>
  </si>
  <si>
    <t>Cuota trabajador</t>
  </si>
  <si>
    <t>Invalidez y Vida</t>
  </si>
  <si>
    <t>Cesantía y Vejez (patrón variable 3.150–6.422%)</t>
  </si>
  <si>
    <t>Totales</t>
  </si>
  <si>
    <t>Días a cotizar</t>
  </si>
  <si>
    <t>Faltas</t>
  </si>
  <si>
    <t>Incapacidades</t>
  </si>
  <si>
    <t>Enfermedad y Maternidad - Excedente sobre 3 UMA</t>
  </si>
  <si>
    <t>Enfermedad y Maternidad  - Gastos médicos a pensionados</t>
  </si>
  <si>
    <t>Enfermedad y Maternidad  - Prestaciones en dinero</t>
  </si>
  <si>
    <t>Claves de deducciones</t>
  </si>
  <si>
    <t>Días a calcular</t>
  </si>
  <si>
    <t>(x) Días a calcular</t>
  </si>
  <si>
    <t>(/) 30.4</t>
  </si>
  <si>
    <t>(=) Subsidio al empleo del periodo</t>
  </si>
  <si>
    <t>Determinación del subsidio al empleo</t>
  </si>
  <si>
    <t>Valor de la UMA mensual</t>
  </si>
  <si>
    <t>% de subsidio</t>
  </si>
  <si>
    <t>Valor mensual del subsidio</t>
  </si>
  <si>
    <r>
      <t>Artículo 123 apartado A CPEUM.
XII primer párrafo.-</t>
    </r>
    <r>
      <rPr>
        <sz val="11"/>
        <color theme="1"/>
        <rFont val="Aptos Narrow"/>
        <family val="2"/>
        <scheme val="minor"/>
      </rPr>
      <t xml:space="preserve"> Toda empresa agrícola, industrial, minera o de cualquier otra clase de trabajo, estará obligada, según lo determinen las leyes reglamentarias a proporcionar a sus personas trabajadoras viviendas adecuadas. Esta obligación se cumplirá mediante las aportaciones que las empresas hagan a un fondo nacional de la vivienda a fin de constituir depósitos en favor de sus personas trabajadoras. 
</t>
    </r>
    <r>
      <rPr>
        <b/>
        <sz val="11"/>
        <color theme="1"/>
        <rFont val="Aptos Narrow"/>
        <family val="2"/>
        <scheme val="minor"/>
      </rPr>
      <t>Artículo 136 LFT</t>
    </r>
    <r>
      <rPr>
        <sz val="11"/>
        <color theme="1"/>
        <rFont val="Aptos Narrow"/>
        <family val="2"/>
        <scheme val="minor"/>
      </rPr>
      <t xml:space="preserve">.- Toda empresa agrícola, industrial, minera o de cualquier otra clase de trabajo, está obligada a proporcionar a los trabajadores habitaciones cómodas e higiénicas. Para dar cumplimiento a esta obligación, las empresas deberán aportar al Fondo Nacional de la Vivienda el cinco por ciento sobre los salarios de los trabajadores a su servicio.
</t>
    </r>
    <r>
      <rPr>
        <b/>
        <sz val="11"/>
        <color theme="1"/>
        <rFont val="Aptos Narrow"/>
        <family val="2"/>
        <scheme val="minor"/>
      </rPr>
      <t>Artículo 141 primer párrafo LFT</t>
    </r>
    <r>
      <rPr>
        <sz val="11"/>
        <color theme="1"/>
        <rFont val="Aptos Narrow"/>
        <family val="2"/>
        <scheme val="minor"/>
      </rPr>
      <t xml:space="preserve">.- Las aportaciones al Fondo Nacional de la Vivienda </t>
    </r>
    <r>
      <rPr>
        <b/>
        <sz val="11"/>
        <color rgb="FFFF0000"/>
        <rFont val="Aptos Narrow"/>
        <family val="2"/>
        <scheme val="minor"/>
      </rPr>
      <t>son gastos de previsión social de las empresas</t>
    </r>
    <r>
      <rPr>
        <sz val="11"/>
        <color theme="1"/>
        <rFont val="Aptos Narrow"/>
        <family val="2"/>
        <scheme val="minor"/>
      </rPr>
      <t xml:space="preserve"> y se aplicarán en su totalidad a constituir depósitos en favor de los trabajadores que se sujetarán a las bases siguientes:</t>
    </r>
  </si>
  <si>
    <r>
      <rPr>
        <b/>
        <sz val="11"/>
        <color theme="1"/>
        <rFont val="Aptos Narrow"/>
        <family val="2"/>
        <scheme val="minor"/>
      </rPr>
      <t>Artículo 97 LFT</t>
    </r>
    <r>
      <rPr>
        <sz val="11"/>
        <color theme="1"/>
        <rFont val="Aptos Narrow"/>
        <family val="2"/>
        <scheme val="minor"/>
      </rPr>
      <t xml:space="preserve">.- Los salarios mínimos no podrán ser objeto de compensación, descuento o reducción, salvo en los casos siguientes:
I. 	Pensiones alimenticias decretadas por la autoridad competente en favor de las personas mencionadas en el artículo 110, fracción V; y
</t>
    </r>
    <r>
      <rPr>
        <b/>
        <sz val="11"/>
        <color theme="1"/>
        <rFont val="Aptos Narrow"/>
        <family val="2"/>
        <scheme val="minor"/>
      </rPr>
      <t>Artículo 110 LFT</t>
    </r>
    <r>
      <rPr>
        <sz val="11"/>
        <color theme="1"/>
        <rFont val="Aptos Narrow"/>
        <family val="2"/>
        <scheme val="minor"/>
      </rPr>
      <t>.- Los descuentos en los salarios de los trabajadores, están prohibidos salvo en los casos y con los requisitos siguientes:
V. 	Pago de pensiones alimenticias en favor de acreedores alimentarios, decretado por la autoridad competente.
En caso de que el trabajador deje de prestar sus servicios en el centro de trabajo, el patrón deberá informar a la autoridad jurisdiccional competente y los acreedores alimentarios tal circunstancia, dentro de los cinco días hábiles siguientes a la fecha de la terminación de la relación laboral;</t>
    </r>
  </si>
  <si>
    <t>Importe (MXN)</t>
  </si>
  <si>
    <t>Sueldo quincenal</t>
  </si>
  <si>
    <t>ISR retenido</t>
  </si>
  <si>
    <t>IMSS (obrero)</t>
  </si>
  <si>
    <t>Subtotal antes de pensión</t>
  </si>
  <si>
    <t>Pensión alimenticia (20%)</t>
  </si>
  <si>
    <t>Neto a pagar al trabajador</t>
  </si>
  <si>
    <t>a) Trabajador con beneficio por ser un crédito originado antes del 31 de enero de 1998</t>
  </si>
  <si>
    <t>Salario del trabajador en número de veces el Salario Mínimo</t>
  </si>
  <si>
    <t>Porcentaje conforme al Aviso de Retención de Descuentos</t>
  </si>
  <si>
    <t>Más de 6.5</t>
  </si>
  <si>
    <t>Salario base de aportación</t>
  </si>
  <si>
    <t>Salario mínimo general</t>
  </si>
  <si>
    <t>Veces de salario mínimo</t>
  </si>
  <si>
    <t>% conforme al aviso de retención</t>
  </si>
  <si>
    <t>% que le corresponde de retención conforme a la tabla</t>
  </si>
  <si>
    <t>Días cotizados en el bimestre</t>
  </si>
  <si>
    <t>(x) % de descuento en veces del salario mínimo</t>
  </si>
  <si>
    <t>(=) Descuento diario</t>
  </si>
  <si>
    <t>(x) Días cotizados en el bimestre</t>
  </si>
  <si>
    <t>(=) Subtotal</t>
  </si>
  <si>
    <t>(+) Seguro de daños por vivienda</t>
  </si>
  <si>
    <t>(=) Descuento</t>
  </si>
  <si>
    <r>
      <rPr>
        <b/>
        <sz val="11"/>
        <color theme="1"/>
        <rFont val="Aptos Narrow"/>
        <family val="2"/>
        <scheme val="minor"/>
      </rPr>
      <t>Nota</t>
    </r>
    <r>
      <rPr>
        <sz val="11"/>
        <color theme="1"/>
        <rFont val="Aptos Narrow"/>
        <family val="2"/>
        <scheme val="minor"/>
      </rPr>
      <t>: Si el acreditado tiene más de un Salario Diario Integrado vigente, se debe de tomar el último vigente al inicio del bimestre al que corresponda el pago</t>
    </r>
  </si>
  <si>
    <t>b) Trabajador con beneficio por ser un crédito originado posterior al 31 de enero de 1998</t>
  </si>
  <si>
    <t>(x) % conforme al aviso de retención</t>
  </si>
  <si>
    <t>1. Modalidad para créditos en porcentaje</t>
  </si>
  <si>
    <t>2. Modalidad para créditos en cuota fija (en pesos)</t>
  </si>
  <si>
    <t>Cuota fija mensual (pesos)</t>
  </si>
  <si>
    <t>(x) Meses del bimestre</t>
  </si>
  <si>
    <t>(/) Días del bimestre</t>
  </si>
  <si>
    <t>(+) Seguro de daños a la vivienda</t>
  </si>
  <si>
    <r>
      <rPr>
        <b/>
        <sz val="11"/>
        <color theme="1"/>
        <rFont val="Aptos Narrow"/>
        <family val="2"/>
        <scheme val="minor"/>
      </rPr>
      <t xml:space="preserve">3. Modalidad para créditos con factor de descuento en Veces Salario Mínimo (VSM)1 </t>
    </r>
    <r>
      <rPr>
        <sz val="11"/>
        <color theme="1"/>
        <rFont val="Aptos Narrow"/>
        <family val="2"/>
        <scheme val="minor"/>
      </rPr>
      <t xml:space="preserve">
Conforme a las reformas a la Ley del INFONAVIT publicadas el 27 de abril de 2016, en el Diario Oficial de la Federación, para 2025, los créditos en Veces Salario Mínimo se actualizan a una tasa de 0.00%, por lo que el valor de la Unidad Mixta INFONAVIT (UMI) será de $100.81 pesos diarios, conforme al 
artículo 44 segundo párrafo de la Ley del INFONAVIT, en el que se establece que el incremento de los créditos en VSM no podrá ser superior al porcentaje en que se incremente la Unidad de Medida y Actualización. </t>
    </r>
  </si>
  <si>
    <t>Factor de descuento en VSM</t>
  </si>
  <si>
    <t>a) Actualización del saldo y pago de los créditos en VSM de tus trabajadores</t>
  </si>
  <si>
    <t>(x) UMI diaria</t>
  </si>
  <si>
    <t>(=) Amortización mensual</t>
  </si>
  <si>
    <t>(=) Amortización bimestral</t>
  </si>
  <si>
    <t>(=) Factor de descuento</t>
  </si>
  <si>
    <t>(=) Descuento total (incluye seguro)</t>
  </si>
  <si>
    <r>
      <rPr>
        <b/>
        <sz val="11"/>
        <color theme="1"/>
        <rFont val="Aptos Narrow"/>
        <family val="2"/>
        <scheme val="minor"/>
      </rPr>
      <t>b) Obligaciones de pago de créditos anteriores a enero de 2017</t>
    </r>
    <r>
      <rPr>
        <sz val="11"/>
        <color theme="1"/>
        <rFont val="Aptos Narrow"/>
        <family val="2"/>
        <scheme val="minor"/>
      </rPr>
      <t xml:space="preserve">
El cálculo se hace con base en el factor de descuento en veces el salario mínimo general consignado en el Aviso de Retención de Descuentos o Cédula Bimestral Anticipada, por el salario mínimo diario vigente, por dos (meses del bimestre), entre los días del bimestre, por los días cotizados en el bimestre, más el seguro de daños a la vivienda:</t>
    </r>
  </si>
  <si>
    <t>(x) Salario mínimo diario vigente</t>
  </si>
  <si>
    <t>c_TipoDeduccion</t>
  </si>
  <si>
    <r>
      <rPr>
        <b/>
        <sz val="11"/>
        <color theme="1"/>
        <rFont val="Aptos Narrow"/>
        <family val="2"/>
        <scheme val="minor"/>
      </rPr>
      <t>Artículo 163 LISSSTE</t>
    </r>
    <r>
      <rPr>
        <sz val="11"/>
        <color theme="1"/>
        <rFont val="Aptos Narrow"/>
        <family val="2"/>
        <scheme val="minor"/>
      </rPr>
      <t xml:space="preserve">. Las Dependencias y Entidades estarán obligadas a realizar los Descuentos quincenales  en nómina que ordene el Instituto para recuperar los créditos que otorgue y a enterar dichos recursos conforme a lo establecido en el presente ordenamiento. Asimismo las Dependencias y Entidades estarán obligadas a entregar al Instituto quincenalmente la nómina de sus Trabajadores con la información y en los formatos que ordene el Instituto. 
En los casos en que la Dependencia no aplique los Descuentos, los Trabajadores deberán pagar directamente, mediante los sistemas que establezca el Instituto, sin perjuicio de las actualizaciones y recargos que se establezcan en el reglamento correspondiente. 
Cuando las Dependencias omitan el entero de estos Descuentos al Instituto, deberán cubrirlas adicionando el costo financiero previsto en el artículo 22 de esta ley. </t>
    </r>
  </si>
  <si>
    <t>Fórmula de descuento</t>
  </si>
  <si>
    <t>Descuento FOVISSSTE=Sueldo básico×30%</t>
  </si>
  <si>
    <r>
      <rPr>
        <b/>
        <sz val="11"/>
        <color theme="1"/>
        <rFont val="Aptos Narrow"/>
        <family val="2"/>
        <scheme val="minor"/>
      </rPr>
      <t>Artículo 97 LFT</t>
    </r>
    <r>
      <rPr>
        <sz val="11"/>
        <color theme="1"/>
        <rFont val="Aptos Narrow"/>
        <family val="2"/>
        <scheme val="minor"/>
      </rPr>
      <t xml:space="preserve">.- Los salarios mínimos no podrán ser objeto de compensación, descuento o reducción, salvo en los casos siguientes:
IV.  Pago de abonos para cubrir créditos otorgados o garantizados por el Instituto a que se refiere el artículo 103 Bis de esta Ley, destinados a la adquisición de bienes de consumo duradero o al pago de servicios. Estos descuentos estarán precedidos de la aceptación que libremente haya hecho el trabajador y no podrán exceder del 10% del salario.
</t>
    </r>
    <r>
      <rPr>
        <b/>
        <sz val="11"/>
        <color theme="1"/>
        <rFont val="Aptos Narrow"/>
        <family val="2"/>
        <scheme val="minor"/>
      </rPr>
      <t>Artículo 110 LFT</t>
    </r>
    <r>
      <rPr>
        <sz val="11"/>
        <color theme="1"/>
        <rFont val="Aptos Narrow"/>
        <family val="2"/>
        <scheme val="minor"/>
      </rPr>
      <t>.- Los descuentos en los salarios de los trabajadores, están prohibidos salvo en los casos y con los requisitos siguientes:
VII.  Pago de abonos para cubrir créditos garantizados por el Instituto a que se refiere el artículo 103 Bis de esta Ley, destinados a la adquisición de bienes de consumo, o al pago de servicios. Estos descuentos deberán haber sido aceptados libremente por el trabajador y no podrán exceder del veinte por ciento del salario.</t>
    </r>
  </si>
  <si>
    <r>
      <rPr>
        <b/>
        <sz val="11"/>
        <color theme="1"/>
        <rFont val="Aptos Narrow"/>
        <family val="2"/>
        <scheme val="minor"/>
      </rPr>
      <t>Artículo 110 LFT.</t>
    </r>
    <r>
      <rPr>
        <sz val="11"/>
        <color theme="1"/>
        <rFont val="Aptos Narrow"/>
        <family val="2"/>
        <scheme val="minor"/>
      </rPr>
      <t>- Los descuentos en los salarios de los trabajadores, están prohibidos salvo en los casos y con los requisitos siguientes:
I.  Pago de deudas contraídas con el patrón por anticipo de salarios, pagos hechos con exceso al trabajador, errores, pérdidas, averías o adquisición de artículos producidos por la empresa o establecimiento. La cantidad exigible en ningún caso podrá ser mayor del importe de los salarios de un mes y el descuento será al que convengan el trabajador y el patrón, sin que pueda ser mayor del treinta por ciento del excedente del salario mínimo;</t>
    </r>
  </si>
  <si>
    <t>Tipo de fracción (Art. 110 LFT)</t>
  </si>
  <si>
    <t>(-) Salario mínimo del periodo</t>
  </si>
  <si>
    <t>(=) Excedente del salario mínimo</t>
  </si>
  <si>
    <t>(x) Días del periodo</t>
  </si>
  <si>
    <t>(=) Salario bruto del periodo</t>
  </si>
  <si>
    <t>(x) % tope legal aplicable</t>
  </si>
  <si>
    <t>(=) Descuento máximo permitido</t>
  </si>
  <si>
    <r>
      <rPr>
        <b/>
        <sz val="11"/>
        <color theme="1"/>
        <rFont val="Aptos Narrow"/>
        <family val="2"/>
        <scheme val="minor"/>
      </rPr>
      <t>Artículo 110 LFT</t>
    </r>
    <r>
      <rPr>
        <sz val="11"/>
        <color theme="1"/>
        <rFont val="Aptos Narrow"/>
        <family val="2"/>
        <scheme val="minor"/>
      </rPr>
      <t>.- Los descuentos en los salarios de los trabajadores, están prohibidos salvo en los casos y con los requisitos siguientes:
IV.  Pago de cuotas para la constitución y fomento de sociedades cooperativas y de cajas de ahorro, siempre que los trabajadores manifiesten expresa y libremente su conformidad y que no sean mayores del treinta por ciento del excedente del salario mínimo;
VI. 	Pago de las cuotas sindicales ordinarias previstas en los estatutos de los sindicatos.
El trabajador podrá manifestar por escrito su voluntad de que no se le aplique la cuota sindical, en cuyo caso el patrón no podrá descontarla;</t>
    </r>
  </si>
  <si>
    <r>
      <rPr>
        <b/>
        <sz val="11"/>
        <color theme="1"/>
        <rFont val="Aptos Narrow"/>
        <family val="2"/>
        <scheme val="minor"/>
      </rPr>
      <t>LEY DE LOS SISTEMAS DE AHORRO PARA EL RETIRO 
Artículo 79</t>
    </r>
    <r>
      <rPr>
        <sz val="11"/>
        <color theme="1"/>
        <rFont val="Aptos Narrow"/>
        <family val="2"/>
        <scheme val="minor"/>
      </rPr>
      <t>.- Con el propósito de incrementar el monto de la pensión, e incentivar el ahorro interno de largo plazo, se fomentarán las aportaciones voluntarias y complementarias de retiro que puedan realizar los trabajadores o los patrones a las subcuentas correspondientes. 
A tal efecto, los trabajadores o los patrones, adicionalmente a las obligaciones derivadas de contratos colectivos de trabajo o en cumplimiento de éstas podrán realizar depósitos a las subcuentas de aportaciones voluntarias o complementarias de retiro en cualquier tiempo. Estos recursos deberán ser invertidos en sociedades de inversión que opere la administradora elegida por el trabajador. 
Los recursos depositados en la subcuenta de retiro, cesantía en edad avanzada y vejez de los trabajadores afiliados serán inembargables.</t>
    </r>
  </si>
  <si>
    <t>Total</t>
  </si>
  <si>
    <t>7 UMAS elevadas al año</t>
  </si>
  <si>
    <t>①</t>
  </si>
  <si>
    <t>②</t>
  </si>
  <si>
    <t>③</t>
  </si>
  <si>
    <t>Nodo comprobante</t>
  </si>
  <si>
    <t>Nodo emisor</t>
  </si>
  <si>
    <t>Nodo receptor</t>
  </si>
  <si>
    <t>Fecha de expedición *</t>
  </si>
  <si>
    <t>RFC *</t>
  </si>
  <si>
    <t>Serie</t>
  </si>
  <si>
    <t>Nombre o razón social *</t>
  </si>
  <si>
    <t>Folio</t>
  </si>
  <si>
    <t>Domicilio fiscal *</t>
  </si>
  <si>
    <t>Método de pago **</t>
  </si>
  <si>
    <t>PUE</t>
  </si>
  <si>
    <t>Régimen fiscal *</t>
  </si>
  <si>
    <t>Forma de pago **</t>
  </si>
  <si>
    <t>Este campo no debe de existir</t>
  </si>
  <si>
    <t>FacAtrAdquirente **</t>
  </si>
  <si>
    <t>País de residencia **</t>
  </si>
  <si>
    <t>Moneda *</t>
  </si>
  <si>
    <t>MXN</t>
  </si>
  <si>
    <t>Registro tributario **</t>
  </si>
  <si>
    <t>Tipo de cambio **</t>
  </si>
  <si>
    <t>Uso del CFDI *</t>
  </si>
  <si>
    <t>CN01</t>
  </si>
  <si>
    <t>Condiciones de pago</t>
  </si>
  <si>
    <t>Lugar de expedición *</t>
  </si>
  <si>
    <t>Exportación*</t>
  </si>
  <si>
    <t>01</t>
  </si>
  <si>
    <t>Tipo de comprobante *</t>
  </si>
  <si>
    <t>N</t>
  </si>
  <si>
    <t>Nodo tipo de relación</t>
  </si>
  <si>
    <t>Tipo de relación **</t>
  </si>
  <si>
    <t>UUID **</t>
  </si>
  <si>
    <t>Nodo conceptos</t>
  </si>
  <si>
    <t>ClaveProdServ *</t>
  </si>
  <si>
    <t>No. De identificación **</t>
  </si>
  <si>
    <t>Clave de unidad de medida *</t>
  </si>
  <si>
    <t>ACT</t>
  </si>
  <si>
    <t>Unidad **</t>
  </si>
  <si>
    <t>Cantidad *</t>
  </si>
  <si>
    <t>Valor unitario *</t>
  </si>
  <si>
    <t>Descripción *</t>
  </si>
  <si>
    <t>Pago de nómina</t>
  </si>
  <si>
    <t>Importe *</t>
  </si>
  <si>
    <t>Descuento **</t>
  </si>
  <si>
    <t>Objeto impuestos *</t>
  </si>
  <si>
    <t>No. de pedimento **</t>
  </si>
  <si>
    <t>No. de la cuenta predial **</t>
  </si>
  <si>
    <t>Complemento de nómina</t>
  </si>
  <si>
    <t>Fecha de pago</t>
  </si>
  <si>
    <t>Fecha inicial de pago</t>
  </si>
  <si>
    <t>Fecha final de pago</t>
  </si>
  <si>
    <t>Número de días pagados</t>
  </si>
  <si>
    <t>Fecha inicio relación laboral</t>
  </si>
  <si>
    <t>Antigüedad</t>
  </si>
  <si>
    <r>
      <t xml:space="preserve">Se puede registrar el número de semanas o el periodo de años, meses y días (año calendario) en que el empleado ha mantenido relación laboral con el empleador. 
Se debe registrar cuando se esté obligado conforme a las disposiciones aplicables.  
El valor de este campo deber ser menor o igual que el tiempo transcurrido entre la fecha de inicio de relación laboral y la fecha final de pago. 
Por excepción, este dato no aplica cuando el empleador realice el pago a contribuyentes asimilados a salarios, no se sitúe en los supuestos contemplados 
en los artículos 12 y 13 de la Ley del Seguro Social, o bien no tenga la obligación de registrar este dato en términos de las disposiciones aplicables.
</t>
    </r>
    <r>
      <rPr>
        <b/>
        <sz val="11"/>
        <color theme="1"/>
        <rFont val="Aptos Narrow"/>
        <family val="2"/>
        <scheme val="minor"/>
      </rPr>
      <t>Fuente</t>
    </r>
    <r>
      <rPr>
        <sz val="11"/>
        <color theme="1"/>
        <rFont val="Aptos Narrow"/>
        <family val="2"/>
        <scheme val="minor"/>
      </rPr>
      <t>: Guía de llenado del CFDI de nómina (página 31)</t>
    </r>
  </si>
  <si>
    <t>Fecha inicial</t>
  </si>
  <si>
    <t>Fecha final</t>
  </si>
  <si>
    <t>Meses</t>
  </si>
  <si>
    <t>Presentación en el CFDI</t>
  </si>
  <si>
    <t>Años, meses y días</t>
  </si>
  <si>
    <t>Semanas</t>
  </si>
  <si>
    <t>Tipo de contrato</t>
  </si>
  <si>
    <r>
      <t xml:space="preserve">Se debe registrar la clave del tipo de contrato laboral que tiene el trabajador con su empleador, en virtud del cual el trabajador se compromete a prestar sus 
servicios a cambio de una remuneración.  
Las claves de los distintos tipos de contrato se encuentran incluidas en el catálogo c_TipoContrato publicado en el Portal del SAT. 
Ejemplo:  
 TipoContrato= 01
</t>
    </r>
    <r>
      <rPr>
        <b/>
        <sz val="11"/>
        <color theme="1"/>
        <rFont val="Aptos Narrow"/>
        <family val="2"/>
        <scheme val="minor"/>
      </rPr>
      <t>Fuente</t>
    </r>
    <r>
      <rPr>
        <sz val="11"/>
        <color theme="1"/>
        <rFont val="Aptos Narrow"/>
        <family val="2"/>
        <scheme val="minor"/>
      </rPr>
      <t>: Guía de llenado del CFDI de nómina (página 32)</t>
    </r>
  </si>
  <si>
    <t>c_TipoContrato</t>
  </si>
  <si>
    <t>Fundamento legal</t>
  </si>
  <si>
    <t>Contrato de trabajo por tiempo indeterminado</t>
  </si>
  <si>
    <t>Art. 35 y 39 LFT</t>
  </si>
  <si>
    <r>
      <rPr>
        <b/>
        <sz val="11"/>
        <color theme="1"/>
        <rFont val="Arial"/>
        <family val="2"/>
      </rPr>
      <t>Artículo 35 LFT</t>
    </r>
    <r>
      <rPr>
        <sz val="11"/>
        <color theme="1"/>
        <rFont val="Arial"/>
        <family val="2"/>
      </rPr>
      <t>. Las relaciones de trabajo pueden ser para obra o tiempo determinado, por temporada o por tiempo indeterminado y en su caso podrá estar sujeto a prueba o a capacitación inicial. A falta de estipulaciones expresas, la relación será por tiempo indeterminado.</t>
    </r>
  </si>
  <si>
    <t>Contrato de trabajo para obra determinada</t>
  </si>
  <si>
    <t>Art. 36 LFT</t>
  </si>
  <si>
    <r>
      <rPr>
        <b/>
        <sz val="11"/>
        <color theme="1"/>
        <rFont val="Arial"/>
        <family val="2"/>
      </rPr>
      <t>Artículo 36 LFT</t>
    </r>
    <r>
      <rPr>
        <sz val="11"/>
        <color theme="1"/>
        <rFont val="Arial"/>
        <family val="2"/>
      </rPr>
      <t>.- El señalamiento de un obra determinada puede únicamente estipularse cuando lo exija su naturaleza.</t>
    </r>
  </si>
  <si>
    <t>Contrato de trabajo por tiempo determinado</t>
  </si>
  <si>
    <t>Art. 37 LFT</t>
  </si>
  <si>
    <r>
      <rPr>
        <b/>
        <sz val="11"/>
        <color theme="1"/>
        <rFont val="Arial"/>
        <family val="2"/>
      </rPr>
      <t>Artículo 37 LFT</t>
    </r>
    <r>
      <rPr>
        <sz val="11"/>
        <color theme="1"/>
        <rFont val="Arial"/>
        <family val="2"/>
      </rPr>
      <t>.- El señalamiento de un tiempo determinado puede únicamente estipularse en los caso siguientes:
I. 	Cuando lo exija la naturaleza del trabajo que se va a prestar;
II. 	Cuando tenga por objeto substituir temporalmente a otro trabajador; y
III. 	En los demás casos previstos por esta Ley.</t>
    </r>
  </si>
  <si>
    <t>Contrato de trabajo por temporada</t>
  </si>
  <si>
    <t>Art. 39-F LFT</t>
  </si>
  <si>
    <r>
      <rPr>
        <b/>
        <sz val="11"/>
        <color theme="1"/>
        <rFont val="Arial"/>
        <family val="2"/>
      </rPr>
      <t>Artículo 39-F LFT</t>
    </r>
    <r>
      <rPr>
        <sz val="11"/>
        <color theme="1"/>
        <rFont val="Arial"/>
        <family val="2"/>
      </rPr>
      <t>. Las relaciones de trabajo por tiempo indeterminado serán continuas por regla general, pero podrán pactarse para labores discontinuas cuando los servicios requeridos sean para labores fijas y periódicas de carácter discontinuo, en los casos de actividades de temporada o que no exijan la prestación de servicios toda la semana, el mes o el año.
Los trabajadores que presten servicios bajo esta modalidad tienen los mismos derechos y obligaciones que los trabajadores por tiempo indeterminado, en proporción al tiempo trabajado en cada periodo.</t>
    </r>
  </si>
  <si>
    <t>Contrato de trabajo sujeto a prueba</t>
  </si>
  <si>
    <t>Art. 39-A LFT</t>
  </si>
  <si>
    <r>
      <rPr>
        <b/>
        <sz val="11"/>
        <color theme="1"/>
        <rFont val="Arial"/>
        <family val="2"/>
      </rPr>
      <t>Artículo 39-A LFT</t>
    </r>
    <r>
      <rPr>
        <sz val="11"/>
        <color theme="1"/>
        <rFont val="Arial"/>
        <family val="2"/>
      </rPr>
      <t>. En las relaciones de trabajo por tiempo indeterminado o cuando excedan de ciento ochenta días, podrá establecerse un periodo a prueba, el cual no podrá exceder de treinta días, con el único fin de verificar que el trabajador cumple con los requisitos y conocimientos necesarios para desarrollar el trabajo que se solicita.
El periodo de prueba a que se refiere el párrafo anterior, podrá extenderse hasta ciento ochenta días, sólo cuando se trate de trabajadores para puestos de dirección, gerenciales y demás personas que ejerzan funciones de dirección o administración en la empresa o establecimiento de carácter general o para desempeñar labores técnicas o profesionales especializadas.
Durante el período de prueba el trabajador disfrutará del salario, la garantía de la seguridad social y de las prestaciones de la categoría o puesto que desempeñe. Al término del periodo de prueba, de no acreditar el trabajador que satisface los requisitos y conocimientos necesarios para desarrollar las labores, a juicio del patrón, tomando en cuenta la opinión de la Comisión Mixta de Productividad, Capacitación y Adiestramiento en los términos de esta Ley, así como la naturaleza de la categoría o puesto, se dará por terminada la relación de trabajo, sin responsabilidad para el patrón.</t>
    </r>
  </si>
  <si>
    <t>Contrato de trabajo con capacitación inicial</t>
  </si>
  <si>
    <t>Art. 39-B LFT</t>
  </si>
  <si>
    <r>
      <rPr>
        <b/>
        <sz val="11"/>
        <color theme="1"/>
        <rFont val="Arial"/>
        <family val="2"/>
      </rPr>
      <t>Artículo 39-B LFT</t>
    </r>
    <r>
      <rPr>
        <sz val="11"/>
        <color theme="1"/>
        <rFont val="Arial"/>
        <family val="2"/>
      </rPr>
      <t>. Se entiende por relación de trabajo para capacitación inicial, aquella por virtud de la cual un trabajador se obliga a prestar sus servicios subordinados, bajo la dirección y mando del patrón, con el fin de que adquiera los conocimientos o habilidades necesarios para la actividad para la que vaya a ser contratado.
La vigencia de la relación de trabajo a que se refiere el párrafo anterior, tendrá una duración máxima de tres meses o en su caso, hasta de seis meses sólo cuando se trate de trabajadores para puestos de dirección, gerenciales y demás personas que ejerzan funciones de dirección o administración en la empresa o establecimiento de carácter general o para desempeñar labores que requieran conocimientos profesionales especializados. Durante ese tiempo el trabajador disfrutará del salario, la garantía de la seguridad social y de las prestaciones de la categoría o puesto que desempeñe. Al término de la capacitación inicial, de no acreditar competencia el trabajador, a juicio del patrón, tomando en cuenta la opinión de la Comisión Mixta de Productividad, Capacitación y Adiestramiento en los términos de esta Ley, así como a la naturaleza de la categoría o puesto, se dará por terminada la relación de trabajo, sin responsabilidad para el patrón.</t>
    </r>
  </si>
  <si>
    <t>Modalidad de contratación por pago de hora laborada</t>
  </si>
  <si>
    <t>Art. 83 LFT</t>
  </si>
  <si>
    <r>
      <rPr>
        <b/>
        <sz val="11"/>
        <color theme="1"/>
        <rFont val="Arial"/>
        <family val="2"/>
      </rPr>
      <t>Artículo 83 LFT</t>
    </r>
    <r>
      <rPr>
        <sz val="11"/>
        <color theme="1"/>
        <rFont val="Arial"/>
        <family val="2"/>
      </rPr>
      <t>.- El salario puede fijarse por unidad de tiempo, por unidad de obra, por comisión, a precio alzado o de cualquier otra manera.
Tratándose de salario por unidad de tiempo, se establecerá específicamente esa naturaleza. El trabajador y el patrón podrán convenir el monto, siempre que se trate de un salario remunerador, así como el pago por cada hora de prestación de servicio, siempre y cuando no se exceda la jornada máxima legal y se respeten los derechos laborales y de seguridad social que correspondan a la plaza de que se trate. El ingreso que perciban los trabajadores por esta modalidad, en ningún caso será inferior al que corresponda a una jornada diaria.
Cuando el salario se fije por unidad de obra, además de especificarse la naturaleza de ésta, se hará constar la cantidad y calidad del material, el estado de la herramienta y útiles que el patrón, en su caso, proporcione para ejecutar la obra, y el tiempo por el que los pondrá a disposición del trabajador, sin que pueda exigir cantidad alguna por concepto del desgaste natural que sufra la herramienta como consecuencia del trabajo.</t>
    </r>
  </si>
  <si>
    <t>Modalidad de trabajo por comisión laboral</t>
  </si>
  <si>
    <r>
      <rPr>
        <b/>
        <sz val="11"/>
        <color theme="1"/>
        <rFont val="Arial"/>
        <family val="2"/>
      </rPr>
      <t>Artículo 285 LFT</t>
    </r>
    <r>
      <rPr>
        <sz val="11"/>
        <color theme="1"/>
        <rFont val="Arial"/>
        <family val="2"/>
      </rPr>
      <t xml:space="preserve">.- Los agentes de comercio, de seguros, los vendedores, viajantes, propagandistas o impulsores de ventas y otros semejantes, son trabajadores de la empresa o empresas a las que presten sus servicios, cuando su actividad sea permanente, salvo que no ejecuten personalmente el trabajo o que únicamente intervengan en operaciones aisladas.
</t>
    </r>
    <r>
      <rPr>
        <b/>
        <sz val="11"/>
        <color theme="1"/>
        <rFont val="Arial"/>
        <family val="2"/>
      </rPr>
      <t>Artículo 286 LFT</t>
    </r>
    <r>
      <rPr>
        <sz val="11"/>
        <color theme="1"/>
        <rFont val="Arial"/>
        <family val="2"/>
      </rPr>
      <t>.- El salario a comisión puede comprender una prima sobre el valor de la mercancía vendida o colocada, sobre el pago inicial o sobre los pagos periódicos, o dos o las tres de dichas primas.</t>
    </r>
  </si>
  <si>
    <t>Modalidades de contratación donde no existe relación de trabajo</t>
  </si>
  <si>
    <t>Jubilación, pensión, retiro.</t>
  </si>
  <si>
    <t>Otro contrato</t>
  </si>
  <si>
    <t>Sindicalizado</t>
  </si>
  <si>
    <t>Tipo de jornada</t>
  </si>
  <si>
    <t>c_TipoJornada</t>
  </si>
  <si>
    <t>Diurna</t>
  </si>
  <si>
    <t>Art. 60 y 61 LFT</t>
  </si>
  <si>
    <t>Nocturna</t>
  </si>
  <si>
    <t>Mixta</t>
  </si>
  <si>
    <t>Por hora</t>
  </si>
  <si>
    <t>Reducida</t>
  </si>
  <si>
    <t>Art. 58 y 59 LFT</t>
  </si>
  <si>
    <t>Continuada</t>
  </si>
  <si>
    <t>Art. 63 LFT</t>
  </si>
  <si>
    <t>Partida</t>
  </si>
  <si>
    <t>Art. 64 LFT</t>
  </si>
  <si>
    <t>Por turnos</t>
  </si>
  <si>
    <t>Art. 65 y 66 LFT</t>
  </si>
  <si>
    <t>Otra Jornada</t>
  </si>
  <si>
    <r>
      <rPr>
        <b/>
        <sz val="11"/>
        <color theme="1"/>
        <rFont val="Aptos Narrow"/>
        <family val="2"/>
        <scheme val="minor"/>
      </rPr>
      <t>Artículo 58 LFT.</t>
    </r>
    <r>
      <rPr>
        <sz val="11"/>
        <color theme="1"/>
        <rFont val="Aptos Narrow"/>
        <family val="2"/>
        <scheme val="minor"/>
      </rPr>
      <t xml:space="preserve">- Jornada de trabajo es el tiempo durante el cual el trabajador está a disposición del patrón para prestar su trabajo.
</t>
    </r>
    <r>
      <rPr>
        <b/>
        <sz val="11"/>
        <color theme="1"/>
        <rFont val="Aptos Narrow"/>
        <family val="2"/>
        <scheme val="minor"/>
      </rPr>
      <t>Artículo 59 LFT.</t>
    </r>
    <r>
      <rPr>
        <sz val="11"/>
        <color theme="1"/>
        <rFont val="Aptos Narrow"/>
        <family val="2"/>
        <scheme val="minor"/>
      </rPr>
      <t xml:space="preserve">- El trabajador y el patrón fijarán la duración de la jornada de trabajo, sin que pueda exceder los máximos legales.
Los trabajadores y el patrón podrán repartir las horas de trabajo, a fin de permitir a los primeros el reposo del sábado en la tarde o cualquier modalidad equivalente.
</t>
    </r>
    <r>
      <rPr>
        <b/>
        <sz val="11"/>
        <color theme="1"/>
        <rFont val="Aptos Narrow"/>
        <family val="2"/>
        <scheme val="minor"/>
      </rPr>
      <t>Artículo 60 LFT</t>
    </r>
    <r>
      <rPr>
        <sz val="11"/>
        <color theme="1"/>
        <rFont val="Aptos Narrow"/>
        <family val="2"/>
        <scheme val="minor"/>
      </rPr>
      <t xml:space="preserve">.- Jornada diurna es la comprendida entre las seis y las veinte horas.
Jornada nocturna es la comprendida entre las veinte y las seis horas.
Jornada mixta es la que comprende períodos de tiempo de las jornadas diurna y nocturna, siempre que el período nocturno sea menor de tres horas y media, pues si comprende tres y media o más, se reputará jornada nocturna.
</t>
    </r>
    <r>
      <rPr>
        <b/>
        <sz val="11"/>
        <color theme="1"/>
        <rFont val="Aptos Narrow"/>
        <family val="2"/>
        <scheme val="minor"/>
      </rPr>
      <t>Artículo 61 LFT</t>
    </r>
    <r>
      <rPr>
        <sz val="11"/>
        <color theme="1"/>
        <rFont val="Aptos Narrow"/>
        <family val="2"/>
        <scheme val="minor"/>
      </rPr>
      <t xml:space="preserve">.- La duración máxima de la jornada será: ocho horas la diurna, siete la nocturna y siete horas y media la mixta.
</t>
    </r>
    <r>
      <rPr>
        <b/>
        <sz val="11"/>
        <color theme="1"/>
        <rFont val="Aptos Narrow"/>
        <family val="2"/>
        <scheme val="minor"/>
      </rPr>
      <t>Artículo 63 LFT</t>
    </r>
    <r>
      <rPr>
        <sz val="11"/>
        <color theme="1"/>
        <rFont val="Aptos Narrow"/>
        <family val="2"/>
        <scheme val="minor"/>
      </rPr>
      <t xml:space="preserve">.- Durante la jornada continua de trabajo se concederá al trabajador un descanso de media hora, por lo menos.
</t>
    </r>
    <r>
      <rPr>
        <b/>
        <sz val="11"/>
        <color theme="1"/>
        <rFont val="Aptos Narrow"/>
        <family val="2"/>
        <scheme val="minor"/>
      </rPr>
      <t>Artículo 64 LFT.</t>
    </r>
    <r>
      <rPr>
        <sz val="11"/>
        <color theme="1"/>
        <rFont val="Aptos Narrow"/>
        <family val="2"/>
        <scheme val="minor"/>
      </rPr>
      <t>- Cuando el trabajador no pueda salir del lugar donde presta sus servicios durante las horas de reposo o de comidas, el tiempo correspondiente le será computado como tiempo efectivo de la jornada de trabajo.</t>
    </r>
  </si>
  <si>
    <t>Tipo de régimen</t>
  </si>
  <si>
    <r>
      <t xml:space="preserve">Se debe registrar la clave del régimen por la cual el empleador tiene contratado al trabajador. 
Los distintos tipos de régimen se encuentran incluidos en el catálogo c_TipoRegimen publicado en el Portal del SAT. 
 Ejemplo:   
TipoRegimen= 02
</t>
    </r>
    <r>
      <rPr>
        <b/>
        <sz val="11"/>
        <color theme="1"/>
        <rFont val="Aptos Narrow"/>
        <family val="2"/>
        <scheme val="minor"/>
      </rPr>
      <t>Fuente</t>
    </r>
    <r>
      <rPr>
        <sz val="11"/>
        <color theme="1"/>
        <rFont val="Aptos Narrow"/>
        <family val="2"/>
        <scheme val="minor"/>
      </rPr>
      <t xml:space="preserve">: Guía de llenado del CFDI de nómina (página 34) </t>
    </r>
  </si>
  <si>
    <t>c_TipoRegimen</t>
  </si>
  <si>
    <t>Sueldos (Incluye ingresos señalados en la fracción I del artículo 94 de LISR)</t>
  </si>
  <si>
    <t xml:space="preserve">Si el campo TipoContrato tiene una clave entre los valores 01 y 08 del catálogo TipoContrato publicado en el Portal del SAT, entonces este campo 
deber ser 02, 03 o 04. </t>
  </si>
  <si>
    <t>Jubilados</t>
  </si>
  <si>
    <t>Pensionados</t>
  </si>
  <si>
    <t>Asimilados Miembros Sociedades Cooperativas Produccion</t>
  </si>
  <si>
    <t>Si el campo TipoContrato tiene un valor 09 o superior, entonces este campo debe contener algún valor del 05 hasta el 99.</t>
  </si>
  <si>
    <t>Asimilados Integrantes Sociedades Asociaciones Civiles</t>
  </si>
  <si>
    <t>Asimilados Miembros consejos</t>
  </si>
  <si>
    <t>Asimilados comisionistas</t>
  </si>
  <si>
    <t>Asimilados Honorarios</t>
  </si>
  <si>
    <t>Asimilados acciones</t>
  </si>
  <si>
    <t>Asimilados otros</t>
  </si>
  <si>
    <t>Jubilados o Pensionados</t>
  </si>
  <si>
    <t>Indemnización o Separación</t>
  </si>
  <si>
    <t>Otro Regimen</t>
  </si>
  <si>
    <r>
      <t xml:space="preserve">Los pagos realizados por indemnizaciones o separaciones deberán identificarse con la clave tipo régimen 13 (Indemnización o Separación), esto con la finalidad 
de distinguir correctamente este tipo de pago de aquellos pagos ordinarios de salarios. 
En caso de que un trabajador se separe de su empleo y en un mismo periodo se efectúe tanto el pago por indemnización o separación y el último pago de sueldos ordinarios, se podrá emitir el o los CFDI conforme a lo siguiente:  
i) Dos CFDI, uno por el pago por indemnización o separación y otro por pago de sueldos, o bien,  
ii) Un sólo CFDI al que se incorporen dos complementos, uno por el pago por separación y otro por el pago de sueldos y salarios, señalando en 
cada caso la clave que corresponda conforme a este catálogo. 
</t>
    </r>
    <r>
      <rPr>
        <b/>
        <sz val="11"/>
        <color theme="1"/>
        <rFont val="Aptos Narrow"/>
        <family val="2"/>
        <scheme val="minor"/>
      </rPr>
      <t>Fundamento Legal:</t>
    </r>
    <r>
      <rPr>
        <sz val="11"/>
        <color theme="1"/>
        <rFont val="Aptos Narrow"/>
        <family val="2"/>
        <scheme val="minor"/>
      </rPr>
      <t xml:space="preserve"> Artículo 94 de la Ley del Impuesto sobre la Renta.
</t>
    </r>
    <r>
      <rPr>
        <b/>
        <sz val="11"/>
        <color theme="1"/>
        <rFont val="Aptos Narrow"/>
        <family val="2"/>
        <scheme val="minor"/>
      </rPr>
      <t>Fuente</t>
    </r>
    <r>
      <rPr>
        <sz val="11"/>
        <color theme="1"/>
        <rFont val="Aptos Narrow"/>
        <family val="2"/>
        <scheme val="minor"/>
      </rPr>
      <t xml:space="preserve">: Guía de llenado del CFDI de nómina (página 35) </t>
    </r>
  </si>
  <si>
    <t>Número de empleado</t>
  </si>
  <si>
    <r>
      <t xml:space="preserve">Se debe registrar el número interno que le asigna el empleador a cada uno de sus empleados para su pronta identificación, puede conformarse desde 1 hasta 
15 caracteres. 
Ejemplo:   
NumEmpleado= 120
</t>
    </r>
    <r>
      <rPr>
        <b/>
        <sz val="11"/>
        <color theme="1"/>
        <rFont val="Aptos Narrow"/>
        <family val="2"/>
        <scheme val="minor"/>
      </rPr>
      <t>Fuente:</t>
    </r>
    <r>
      <rPr>
        <sz val="11"/>
        <color theme="1"/>
        <rFont val="Aptos Narrow"/>
        <family val="2"/>
        <scheme val="minor"/>
      </rPr>
      <t xml:space="preserve"> Guía de llenado del CFDI de nómina (página 35) </t>
    </r>
  </si>
  <si>
    <t>Departamento</t>
  </si>
  <si>
    <r>
      <t xml:space="preserve">Se puede registrar el nombre del departamento o área a la que pertenece el trabajador a la que está asignado, es decir, en donde desarrolla sus funciones.  
En caso de laborar en distintos departamentos se registrará aquel en que haya desarrollado su labor por más tiempo en el periodo que ampara el comprobante, 
en caso de no ser posible determinar esto, se registrará el último departamento en que laboró en el periodo que ampara el comprobante. 
</t>
    </r>
    <r>
      <rPr>
        <b/>
        <sz val="11"/>
        <color theme="1"/>
        <rFont val="Aptos Narrow"/>
        <family val="2"/>
        <scheme val="minor"/>
      </rPr>
      <t>Fuente</t>
    </r>
    <r>
      <rPr>
        <sz val="11"/>
        <color theme="1"/>
        <rFont val="Aptos Narrow"/>
        <family val="2"/>
        <scheme val="minor"/>
      </rPr>
      <t xml:space="preserve">: Guía de llenado del CFDI de nómina (página 35)  </t>
    </r>
  </si>
  <si>
    <t>Puesto</t>
  </si>
  <si>
    <r>
      <t xml:space="preserve">Se puede registrar el nombre del puesto asignado al empleado o el nombre de la actividad que realiza. 
En caso de que durante el periodo que ampara el comprobante el trabajador haya cambiado de puesto se deberá consignar el último puesto ocupado. 
Ejemplo: 
Puesto= Velador
</t>
    </r>
    <r>
      <rPr>
        <b/>
        <sz val="11"/>
        <color theme="1"/>
        <rFont val="Aptos Narrow"/>
        <family val="2"/>
        <scheme val="minor"/>
      </rPr>
      <t>Fuente</t>
    </r>
    <r>
      <rPr>
        <sz val="11"/>
        <color theme="1"/>
        <rFont val="Aptos Narrow"/>
        <family val="2"/>
        <scheme val="minor"/>
      </rPr>
      <t xml:space="preserve">: Guía de llenado del CFDI de nómina (página 35)  </t>
    </r>
  </si>
  <si>
    <t>Riesgo de puesto</t>
  </si>
  <si>
    <r>
      <t xml:space="preserve">Se puede registrar la clave conforme a la clase en que está inscrito el empleador, de acuerdo con las actividades que desempeñan sus trabajadores, según lo 
previsto en el artículo 196 del Reglamento en Materia de Afiliación Clasificación de Empresas, Recaudación y Fiscalización, o conforme con la Normatividad del 
Instituto de Seguridad Social del trabajador.  
Se debe registrar cuando se esté obligado conforme a las disposiciones aplicables. 
Las claves de las distintas clases de riesgos de puestos, se encuentran incluidas en el catálogo c_RiesgoPuesto publicado en el Portal del SAT. 
En caso de trabajadores que no se encuentren afiliados al IMSS, en este campo se deberá registrar la clave 99 “No aplica” del catálogo c_RiesgoPuesto.
</t>
    </r>
    <r>
      <rPr>
        <b/>
        <sz val="11"/>
        <color theme="1"/>
        <rFont val="Aptos Narrow"/>
        <family val="2"/>
        <scheme val="minor"/>
      </rPr>
      <t>Fuente:</t>
    </r>
    <r>
      <rPr>
        <sz val="11"/>
        <color theme="1"/>
        <rFont val="Aptos Narrow"/>
        <family val="2"/>
        <scheme val="minor"/>
      </rPr>
      <t xml:space="preserve"> Guía de llenado del CFDI de nómina (página 36)  </t>
    </r>
  </si>
  <si>
    <r>
      <t xml:space="preserve">Se debe registrar la clave de periodicidad de pago en que se realiza el pago del  salario al empleado o trabajador asimilado.
En el caso de que en un mismo comprobante se incluya nómina ordinaria y un  concepto extraordinario, por ejemplo, para la última quincena se realiza el pago del sueldo más el finiquito, con periodicidad de pago como ordinaria, entonces en campo PeriodicidadPago se debe ingresar la clave “04” quincenal correspondiente al pago de nómina ordinaria.
Las claves de periodicidad de pago se encuentran incluidas en el catálogo c_PeriodicidadPago publicado en el Portal del SAT.
</t>
    </r>
    <r>
      <rPr>
        <b/>
        <sz val="11"/>
        <color theme="1"/>
        <rFont val="Aptos Narrow"/>
        <family val="2"/>
        <scheme val="minor"/>
      </rPr>
      <t xml:space="preserve">Fuente: </t>
    </r>
    <r>
      <rPr>
        <sz val="11"/>
        <color theme="1"/>
        <rFont val="Aptos Narrow"/>
        <family val="2"/>
        <scheme val="minor"/>
      </rPr>
      <t>Guía de llenado del CFDI de nómina (página 37)</t>
    </r>
  </si>
  <si>
    <t>c_PeriodicidadPago</t>
  </si>
  <si>
    <t>Diario</t>
  </si>
  <si>
    <r>
      <rPr>
        <b/>
        <sz val="11"/>
        <color theme="1"/>
        <rFont val="Aptos Narrow"/>
        <family val="2"/>
        <scheme val="minor"/>
      </rPr>
      <t>Artículo 88 LFT</t>
    </r>
    <r>
      <rPr>
        <sz val="11"/>
        <color theme="1"/>
        <rFont val="Aptos Narrow"/>
        <family val="2"/>
        <scheme val="minor"/>
      </rPr>
      <t>.- Los plazos para el pago del salario nunca podrán ser mayores de una semana para las personas que desempeñan un trabajo material y de quince días para los demás trabajadores.</t>
    </r>
  </si>
  <si>
    <t>Semanal</t>
  </si>
  <si>
    <t>Catorcenal</t>
  </si>
  <si>
    <t>Quincenal</t>
  </si>
  <si>
    <t>Mensual</t>
  </si>
  <si>
    <t>Bimestral</t>
  </si>
  <si>
    <t>Unidad obra</t>
  </si>
  <si>
    <t>Comisión</t>
  </si>
  <si>
    <t>Precio alzado</t>
  </si>
  <si>
    <t>Decenal</t>
  </si>
  <si>
    <t>Otra Periodicidad</t>
  </si>
  <si>
    <t>Banco</t>
  </si>
  <si>
    <r>
      <t xml:space="preserve">Se puede registrar la clave del banco en donde el empleador realiza el depósito de la nómina al trabajador o asimilado a salarios.  
Las claves de los distintos bancos se encuentran incluidas en el catálogo c_Banco publicado en el Portal del SAT. 
Ejemplo:  
Banco= 002
</t>
    </r>
    <r>
      <rPr>
        <b/>
        <sz val="11"/>
        <color theme="1"/>
        <rFont val="Aptos Narrow"/>
        <family val="2"/>
        <scheme val="minor"/>
      </rPr>
      <t xml:space="preserve">Fuente: </t>
    </r>
    <r>
      <rPr>
        <sz val="11"/>
        <color theme="1"/>
        <rFont val="Aptos Narrow"/>
        <family val="2"/>
        <scheme val="minor"/>
      </rPr>
      <t xml:space="preserve">Guía de llenado del CFDI de nómina (página 38)
</t>
    </r>
    <r>
      <rPr>
        <b/>
        <sz val="11"/>
        <color theme="1"/>
        <rFont val="Aptos Narrow"/>
        <family val="2"/>
        <scheme val="minor"/>
      </rPr>
      <t>Artículo 101 LFT</t>
    </r>
    <r>
      <rPr>
        <sz val="11"/>
        <color theme="1"/>
        <rFont val="Aptos Narrow"/>
        <family val="2"/>
        <scheme val="minor"/>
      </rPr>
      <t>.- El salario en efectivo deberá pagarse precisamente en moneda de curso legal, no siendo permitido hacerlo en mercancías, vales, fichas o cualquier otro signo representativo con que se pretenda substituir la moneda.
Previo consentimiento del trabajador, el pago del salario podrá efectuarse por medio de depósito en cuenta bancaria, tarjeta de débito, transferencias o cualquier otro medio electrónico. Los gastos o costos que originen estos medios alternativos de pago serán cubiertos por el patrón.
En todos los casos, el trabajador deberá tener acceso a la información detallada de los conceptos y deducciones de pago. Los recibos de pago deberán entregarse al trabajador en forma impresa o por cualquier otro medio, sin perjuicio de que el patrón lo deba entregar en documento impreso cuando el trabajador así lo requiera.
Los recibos impresos deberán contener firma autógrafa del trabajador para su validez; los recibos de pago contenidos en comprobantes fiscales digitales por Internet (CFDI) pueden sustituir a los recibos impresos; el contenido de un CFDI hará prueba si se verifica en el portal de Internet del Servicio de Administración Tributaria, en caso de ser validado se estará a lo dispuesto en la fracción I del artículo 836-D de esta Ley.</t>
    </r>
  </si>
  <si>
    <t>Cuenta bancaria</t>
  </si>
  <si>
    <r>
      <t xml:space="preserve">Se puede registrar el número de cuenta bancaria (11 posiciones), número de teléfono celular (10 posiciones), número de tarjeta de crédito, débito o de servicios (15 o 16 posiciones), la CLABE (18 posiciones), o número de monedero electrónico, en donde el empleador realiza el depósito de la nómina al trabajador.
</t>
    </r>
    <r>
      <rPr>
        <b/>
        <sz val="11"/>
        <color theme="1"/>
        <rFont val="Aptos Narrow"/>
        <family val="2"/>
        <scheme val="minor"/>
      </rPr>
      <t>Fuente:</t>
    </r>
    <r>
      <rPr>
        <sz val="11"/>
        <color theme="1"/>
        <rFont val="Aptos Narrow"/>
        <family val="2"/>
        <scheme val="minor"/>
      </rPr>
      <t xml:space="preserve"> Guía de llenado del CFDI de nómina (página 38)</t>
    </r>
  </si>
  <si>
    <t>Salario base cuota aportación</t>
  </si>
  <si>
    <r>
      <t xml:space="preserve">Se puede registrar el importe de la retribución otorgada al trabajador, que se integra por los pagos hechos en efectivo por cuota diaria, gratificaciones, percepciones, alimentación, habitación, primas, comisiones, prestaciones en 
especie y cualquiera otra cantidad o prestación que se entregue al trabajador por su trabajo, sin considerar los conceptos que se excluyen de conformidad con el artículo 27 de la Ley del Seguro Social, o la integración de los pagos conforme la 
normatividad del Instituto de Seguridad Social del trabajador. (Se emplea para pagar las cuotas y aportaciones de Seguridad Social).  
Se debe registrar cuando se esté obligado conforme a las disposiciones aplicables. 
Ejemplo:  
SalarioBaseCotApor= 490.22 
Por excepción, este dato no aplica cuando el empleador realice el pago a contribuyentes asimilados a salarios, no se sitúe en los supuestos contemplados en los artículos 12 y 13 de la Ley del Seguro Social, o bien no tenga la obligación 
de registrar este dato en términos de las disposiciones aplicables. 
</t>
    </r>
    <r>
      <rPr>
        <b/>
        <sz val="11"/>
        <color theme="1"/>
        <rFont val="Aptos Narrow"/>
        <family val="2"/>
        <scheme val="minor"/>
      </rPr>
      <t>Fundamento Legal</t>
    </r>
    <r>
      <rPr>
        <sz val="11"/>
        <color theme="1"/>
        <rFont val="Aptos Narrow"/>
        <family val="2"/>
        <scheme val="minor"/>
      </rPr>
      <t xml:space="preserve">: Artículo 27 de la Ley del Seguro Social.
</t>
    </r>
    <r>
      <rPr>
        <b/>
        <sz val="11"/>
        <color theme="1"/>
        <rFont val="Aptos Narrow"/>
        <family val="2"/>
        <scheme val="minor"/>
      </rPr>
      <t>Fuente</t>
    </r>
    <r>
      <rPr>
        <sz val="11"/>
        <color theme="1"/>
        <rFont val="Aptos Narrow"/>
        <family val="2"/>
        <scheme val="minor"/>
      </rPr>
      <t>: Guía de llenado del CFDI de nómina (página 39 y 40)</t>
    </r>
  </si>
  <si>
    <t>Salario diario integrado</t>
  </si>
  <si>
    <r>
      <t xml:space="preserve">Se puede registrar el importe del salario que se integra con los pagos hechos en efectivo por cuota diaria, gratificaciones, percepciones, habitación, primas, comisiones, prestaciones en especie y cualquier otra cantidad o prestación que se entregue al trabajador por su trabajo, de conformidad con el Art. 84 de la Ley Federal del Trabajo. (Se utiliza para el cálculo de las indemnizaciones).  
Si se trata de relaciones laborales no sujetas a la Ley Federal del Trabajo, aquí se asentará el salario que sirva de base de cotización para el cálculo de indemnizaciones. 
Se debe registrar cuando se esté obligado conforme a las disposiciones aplicables. 
Ejemplo:  
SalarioDiarioIntegrado= 146.47 
Por excepción, este dato no aplica cuando el empleador realice el pago a contribuyentes asimilados a salarios, no se sitúe en los supuestos contemplados en los artículos 12 y 13 de la Ley del Seguro Social, o bien, no tenga la obligación de registrar este dato en términos de las disposiciones aplicables. 
</t>
    </r>
    <r>
      <rPr>
        <b/>
        <sz val="11"/>
        <color theme="1"/>
        <rFont val="Aptos Narrow"/>
        <family val="2"/>
        <scheme val="minor"/>
      </rPr>
      <t>Fundamento Legal</t>
    </r>
    <r>
      <rPr>
        <sz val="11"/>
        <color theme="1"/>
        <rFont val="Aptos Narrow"/>
        <family val="2"/>
        <scheme val="minor"/>
      </rPr>
      <t xml:space="preserve">: Artículo 84 de la Ley Federal del Trabajo. 
</t>
    </r>
    <r>
      <rPr>
        <b/>
        <sz val="11"/>
        <color theme="1"/>
        <rFont val="Aptos Narrow"/>
        <family val="2"/>
        <scheme val="minor"/>
      </rPr>
      <t>Fuente</t>
    </r>
    <r>
      <rPr>
        <sz val="11"/>
        <color theme="1"/>
        <rFont val="Aptos Narrow"/>
        <family val="2"/>
        <scheme val="minor"/>
      </rPr>
      <t>: Guía de llenado del CFDI de nómina (página  40)</t>
    </r>
  </si>
  <si>
    <t>Clave entidad federativa</t>
  </si>
  <si>
    <r>
      <t xml:space="preserve">Se debe registrar la clave de la entidad federativa en donde el trabajador prestó sus servicios al empleador.  
Si el trabajador prestó servicio en distintas entidades federativas durante el período que ampara el comprobante, se deberá incluir la clave de aquella 
entidad en dónde prestó la mayor parte del servicio. En caso de no ser posible identificar la entidad en que prestó la mayor cantidad del servicio, se podrá poner 
la clave de la última entidad en que los prestó.  
Las claves de las distintas entidades federativas se encuentran incluidas en el catálogo c_Estado publicado en el Portal del SAT. 
Ejemplo:  
ClaveEntFed= AGU
</t>
    </r>
    <r>
      <rPr>
        <b/>
        <sz val="11"/>
        <color theme="1"/>
        <rFont val="Aptos Narrow"/>
        <family val="2"/>
        <scheme val="minor"/>
      </rPr>
      <t xml:space="preserve">Fuente: </t>
    </r>
    <r>
      <rPr>
        <sz val="11"/>
        <color theme="1"/>
        <rFont val="Aptos Narrow"/>
        <family val="2"/>
        <scheme val="minor"/>
      </rPr>
      <t>Guía de llenado del CFDI de nómina (página  41)</t>
    </r>
  </si>
  <si>
    <t>2) Cálculos</t>
  </si>
  <si>
    <t>Nombre de la hoja</t>
  </si>
  <si>
    <t>PERCEPCION</t>
  </si>
  <si>
    <t>Previsión social</t>
  </si>
  <si>
    <t>PREVISION</t>
  </si>
  <si>
    <t>DEDUCCION</t>
  </si>
  <si>
    <t>Determinación del salario base de cotización</t>
  </si>
  <si>
    <t>Determinación del salario diario integrado</t>
  </si>
  <si>
    <t>DSDI</t>
  </si>
  <si>
    <t>Formato CFDI de nómina</t>
  </si>
  <si>
    <t>FCFDI</t>
  </si>
  <si>
    <t>Datos generales</t>
  </si>
  <si>
    <t>GENERAL</t>
  </si>
  <si>
    <t>ACFMSC.COM</t>
  </si>
  <si>
    <t>Deducciones</t>
  </si>
  <si>
    <t xml:space="preserve">Tipo </t>
  </si>
  <si>
    <t>Disminuye la percepción de Gravado</t>
  </si>
  <si>
    <r>
      <rPr>
        <b/>
        <sz val="11"/>
        <color rgb="FFFFFFCC"/>
        <rFont val="Aptos Narrow"/>
        <family val="2"/>
        <scheme val="minor"/>
      </rPr>
      <t>ARTÍCULO 32 primer párrafo RAINFONAVIT</t>
    </r>
    <r>
      <rPr>
        <sz val="11"/>
        <color rgb="FFFFFFCC"/>
        <rFont val="Aptos Narrow"/>
        <family val="2"/>
        <scheme val="minor"/>
      </rPr>
      <t>. Para los efectos del pago de las aportaciones, determinación y entero de los descuentos que establece la Ley, el salario base de aportación se integra con los pagos en efectivo por cuota diaria, gratificaciones, percepciones, alimentación, habitación, primas, comisiones, prestaciones en especie y cualquier otra cantidad o prestación que se entregue al trabajador por su trabajo.</t>
    </r>
  </si>
  <si>
    <t>7° día o parte proporcional</t>
  </si>
  <si>
    <t>Días de descanso laborados</t>
  </si>
  <si>
    <t>Ajuste a días de descanso laborados gravados</t>
  </si>
  <si>
    <t>Ajuste a días de descanso laborados exentos</t>
  </si>
  <si>
    <t>Para el TipoRegimen “002-Sueldos”</t>
  </si>
  <si>
    <t>Para el TipoRegimen “003- Jubilados”, “004-Pensionados” y “012- Jubilados o Pensionados”, específicamente para los casos de Jubilación en una sola exhibición</t>
  </si>
  <si>
    <t>Para el TipoRegimen “003- Jubilados”, “004-Pensionados” y “012- Jubilados o Pensionados”, específicamente para los casos de Jubilación en parcialidades</t>
  </si>
  <si>
    <t>Para el TipoRegimen “05-Asimilados Miembros Sociedades Cooperativas Produccion”, “06-Asimilados Integrantes Sociedades Asociaciones Civiles”, “07-Asimilados Miembros consejos”, “08-Asimilados comisionistas”, “09- Asimilados Honorarios”, “10-Asimilados acciones” y “11-Asimilados otros”</t>
  </si>
  <si>
    <t>Para el TipoRegimen “13- Indemnización o Separación”</t>
  </si>
  <si>
    <t>Ir al MENÚ</t>
  </si>
  <si>
    <r>
      <rPr>
        <b/>
        <sz val="11"/>
        <color theme="1"/>
        <rFont val="Aptos Narrow"/>
        <family val="2"/>
        <scheme val="minor"/>
      </rPr>
      <t xml:space="preserve">Artículo 94 LISR. </t>
    </r>
    <r>
      <rPr>
        <sz val="11"/>
        <color theme="1"/>
        <rFont val="Aptos Narrow"/>
        <family val="2"/>
        <scheme val="minor"/>
      </rPr>
      <t xml:space="preserve">Se consideran ingresos por la prestación de un servicio personal subordinado, los salarios y demás prestaciones que deriven de una relación laboral, incluyendo la participación de los trabajadores en las utilidades de las empresas y las prestaciones percibidas como consecuencia de la terminación de la relación laboral. </t>
    </r>
  </si>
  <si>
    <r>
      <rPr>
        <b/>
        <sz val="11"/>
        <color theme="1"/>
        <rFont val="Aptos Narrow"/>
        <family val="2"/>
        <scheme val="minor"/>
      </rPr>
      <t>Decreto subsidio al empleo</t>
    </r>
    <r>
      <rPr>
        <b/>
        <sz val="11"/>
        <color rgb="FFC00000"/>
        <rFont val="Aptos Narrow"/>
        <family val="2"/>
        <scheme val="minor"/>
      </rPr>
      <t xml:space="preserve">
</t>
    </r>
    <r>
      <rPr>
        <b/>
        <sz val="11"/>
        <color theme="1"/>
        <rFont val="Aptos Narrow"/>
        <family val="2"/>
        <scheme val="minor"/>
      </rPr>
      <t xml:space="preserve">Artículo Primero. </t>
    </r>
    <r>
      <rPr>
        <sz val="11"/>
        <color theme="1"/>
        <rFont val="Aptos Narrow"/>
        <family val="2"/>
        <scheme val="minor"/>
      </rPr>
      <t>Los trabajadores a que se refiere el artículo 94, primer párrafo y fracción I, de la Ley del Impuesto sobre la Renta, podrán gozar del subsidio para el empleo establecido en el presente decreto en lugar del subsidio para el empleo a que se refiere el Artículo Décimo del "Decreto por el que se reforman, adicionan y derogan diversas disposiciones de la Ley del Impuesto al Valor Agregado; de la Ley del Impuesto Especial sobre Producción y Servicios; de la Ley Federal de Derechos, se expide la Ley del Impuesto sobre la Renta, y se abrogan la Ley del Impuesto Empresarial a Tasa Única, y la Ley del Impuesto a los Depósitos en Efectivo", publicado en el Diario Oficial de la Federación el 11 de diciembre de 2013.</t>
    </r>
  </si>
  <si>
    <r>
      <rPr>
        <b/>
        <sz val="11"/>
        <color theme="1"/>
        <rFont val="Aptos Narrow"/>
        <family val="2"/>
        <scheme val="minor"/>
      </rPr>
      <t>Artículo 84 LFT.-</t>
    </r>
    <r>
      <rPr>
        <b/>
        <sz val="11"/>
        <color rgb="FFC00000"/>
        <rFont val="Aptos Narrow"/>
        <family val="2"/>
        <scheme val="minor"/>
      </rPr>
      <t xml:space="preserve"> </t>
    </r>
    <r>
      <rPr>
        <sz val="11"/>
        <color theme="1"/>
        <rFont val="Aptos Narrow"/>
        <family val="2"/>
        <scheme val="minor"/>
      </rPr>
      <t>El salario se integra con los pagos hechos en efectivo por cuota diaria, gratificaciones, percepciones, habitación, primas, comisiones, prestaciones en especie y cualquiera otra cantidad o prestación que se entregue al trabajador por su trabajo.</t>
    </r>
  </si>
  <si>
    <t>PERCEPCIONES</t>
  </si>
  <si>
    <t>DEDUCCIONES</t>
  </si>
  <si>
    <t>Gravado/ Exento</t>
  </si>
  <si>
    <t>Límite de exentos</t>
  </si>
  <si>
    <t>Tipo Deducción</t>
  </si>
  <si>
    <t>XIV.	Las gratificaciones que reciban los trabajadores de sus patrones, durante un año de calendario, hasta el equivalente del salario mínimo general del área geográfica del trabajador elevado a 30 días, cuando dichas gratificaciones se otorguen en forma general; así como las primas vacacionales que otorguen los patrones durante el año de calendario a sus trabajadores en forma general y la participación de los trabajadores en las utilidades de las empresas, hasta por el equivalente a 15 días de salario mínimo general del área geográfica del trabajador, por cada uno de los conceptos señalados. Tratándose de primas dominicales hasta por el equivalente de un salario mínimo general del área geográfica del trabajador por cada domingo que se labore.</t>
  </si>
  <si>
    <t>Gravado y Exento</t>
  </si>
  <si>
    <t>30 UMA's
Art. 93 fr. XIV de la LISR</t>
  </si>
  <si>
    <t>15 UMA's
Art. 93 fr. XIV de la LISR</t>
  </si>
  <si>
    <t>I. Las prestaciones distintas del salario que reciban los trabajadores del salario mínimo general para una o varias áreas geográficas, calculadas sobre la base de dicho salario, cuando no excedan de los mínimos señalados por la legislación laboral, así como las remuneraciones por concepto de tiempo extraordinario o de prestación de servicios que se realice en los días de descanso sin disfrutar de otros en sustitución, hasta el límite establecido en la legislación laboral, que perciban dichos trabajadores. Tratándose de los demás trabajadores, el 50% de las remuneraciones por concepto de tiempo extraordinario o de la prestación de servicios que se realice en los días de descanso sin disfrutar de otros en sustitución, que no exceda el límite previsto en la legislación laboral y sin que esta exención exceda del equivalente de cinco veces el salario mínimo general del área geográfica del trabajador por cada semana de servicios.</t>
  </si>
  <si>
    <t>5 UMA's por cada semana de servicios
Art. 93 fr. I de la LISR</t>
  </si>
  <si>
    <t>1 UMA por cada domingo laborado
hasta 52 UMA'S
Art. 93 fr. I de la LISR</t>
  </si>
  <si>
    <t>Ajuste en Seguro de retiro Exento</t>
  </si>
  <si>
    <t>OTROS PAGOS</t>
  </si>
  <si>
    <t>Subsidio para el empleo (efectivamente entregado al trabajador).</t>
  </si>
  <si>
    <t>Aplicación de saldo a favor por compensación anual.</t>
  </si>
  <si>
    <t>Reintegro de ISR retenido en exceso de ejercicio anterior (siempre que no haya sido enterado al SAT).</t>
  </si>
  <si>
    <t>Ajuste en Subsidio para el empleo (efectivamente entregado al trabajador)</t>
  </si>
  <si>
    <t>ISR ajustado por subsidio.</t>
  </si>
  <si>
    <t>Subsidio efectivamente entregado que no correspondía (Aplica sólo cuando haya ajuste al cierre de mes en relación con el Apéndice 7 de la guía de llenado de nómina).</t>
  </si>
  <si>
    <t>Ajuste en Seguro de retiro Gravado</t>
  </si>
  <si>
    <t>ISR Retenido de ejercicio anterior</t>
  </si>
  <si>
    <t xml:space="preserve">Ajuste al Subsidio Causado </t>
  </si>
  <si>
    <t>Artículo 171. Cuando el trabajador convenga con el empleador en que el pago de la jubilación, pensión o haber de retiro, se cubra mediante pago único, no se pagará el Impuesto por éste, cuando el monto de dicho pago no exceda de noventa veces el salario mínimo general del área geográfica del trabajador elevados al año, a que se refiere el artículo 93, fracción XIII de la Ley. Por el excedente se pagará el Impuesto en términos del artículo 95 de la Ley.</t>
  </si>
  <si>
    <t>90 UMA's elavadas al año
Art. 171 RLISR</t>
  </si>
  <si>
    <t xml:space="preserve">Ajuste en Jubilaciones, pensiones o haberes de retiro en una sola exhibición Exento </t>
  </si>
  <si>
    <t>Ajuste en Jubilaciones, pensiones o haberes de retiro en una sola exhibición Gravado</t>
  </si>
  <si>
    <t>Ajuste a pagos que se realicen a extrabajadores que obtengan una jubilación en una sola exhibición derivados de la ejecución de una resolución judicial o de un laudo gravados</t>
  </si>
  <si>
    <t>Ajuste a pagos que se realicen a extrabajadores que obtengan una jubilación en una sola exhibición derivados de la ejecución de una resolución judicial o de un laudo exentos</t>
  </si>
  <si>
    <t>XIII.	Los que obtengan las personas que han estado sujetas a una relación laboral en el momento de su separación, por concepto de primas de antigüedad, retiro e indemnizaciones u otros pagos, así como los obtenidos con cargo a la subcuenta del seguro de retiro o a la subcuenta de retiro, cesantía en edad avanzada y vejez, previstas en la Ley del Seguro Social y los que obtengan los trabajadores al servicio del Estado con cargo a la cuenta individual del sistema de ahorro para el retiro, prevista en la Ley del Instituto de Seguridad y Servicios Sociales de los Trabajadores del Estado, y los que obtengan por concepto del beneficio previsto en la Ley de Pensión Universal, hasta por el equivalente a noventa veces el salario mínimo general del área geográfica del contribuyente por cada año de servicio o de contribución en el caso de la subcuenta del seguro de retiro, de la subcuenta de retiro, cesantía en edad avanzada y vejez o de la cuenta individual del sistema de ahorro para el retiro. Los años de servicio serán los que se hubieran considerado para el cálculo de los conceptos mencionados. Toda fracción de más de seis meses se considerará un año completo. Por el excedente se pagará el impuesto en los términos de este Título.</t>
  </si>
  <si>
    <t>Ajuste en Jubilaciones, pensiones o haberes de retiro en parcialidades Exento</t>
  </si>
  <si>
    <t>Ajuste en Jubilaciones, pensiones o haberes de retiro en parcialidades Gravado</t>
  </si>
  <si>
    <t>Ajuste a pagos por gratificaciones, primas, compensaciones, recompensas u otros a extrabajadores derivados de jubilación en parcialidades, gravados</t>
  </si>
  <si>
    <t>Ajuste a pagos que se realicen a extrabajadores que obtengan una jubilación en parcialidades derivados de la ejecución de una resolución judicial o de un laudo gravados</t>
  </si>
  <si>
    <t>Ajuste a pagos que se realicen a extrabajadores que obtengan una jubilación en parcialidades derivados de la ejecución de una resolución judicial o de un laudo exentos</t>
  </si>
  <si>
    <r>
      <rPr>
        <b/>
        <sz val="11"/>
        <color theme="1"/>
        <rFont val="Aptos Narrow"/>
        <family val="2"/>
        <scheme val="minor"/>
      </rPr>
      <t>Artículo 94 LISR</t>
    </r>
    <r>
      <rPr>
        <sz val="11"/>
        <color theme="1"/>
        <rFont val="Aptos Narrow"/>
        <family val="2"/>
        <scheme val="minor"/>
      </rPr>
      <t>. Se consideran ingresos por la prestación de un servicio personal subordinado, los salarios y demás prestaciones que deriven de una relación laboral, incluyendo la participación de los trabajadores en las utilidades de las empresas y las prestaciones percibidas como consecuencia de la terminación de la relación laboral. Para los efectos de este impuesto, se asimilan a estos ingresos los siguientes:</t>
    </r>
  </si>
  <si>
    <t>II.</t>
  </si>
  <si>
    <t>Los rendimientos y anticipos, que obtengan los miembros de las sociedades cooperativas de producción, así como los anticipos que reciban los miembros de sociedades y asociaciones civiles.</t>
  </si>
  <si>
    <t>III.</t>
  </si>
  <si>
    <t>Los honorarios a miembros de consejos directivos, de vigilancia, consultivos o de cualquier otra índole, así como los honorarios a administradores, comisarios y gerentes generales.</t>
  </si>
  <si>
    <t>IV.</t>
  </si>
  <si>
    <t>Los honorarios a personas que presten servicios preponderantemente a un prestatario, siempre que los mismos se lleven a cabo en las instalaciones de este último.
Para los efectos del párrafo anterior, se entiende que una persona presta servicios preponderantemente a un prestatario, cuando los ingresos que hubiera percibido de dicho prestatario en el año de calendario inmediato anterior, representen más del 50% del total de los ingresos obtenidos por los conceptos a que se refiere la fracción II del artículo 100 de esta Ley.
Antes de que se efectúe el primer pago de honorarios en el año de calendario de que se trate, las personas a que se refiere esta fracción deberán comunicar por escrito al prestatario en cuyas instalaciones se realice la prestación del servicio, si los ingresos que obtuvieron de dicho prestatario en el año inmediato anterior excedieron del 50% del total de los percibidos en dicho año de calendario por los conceptos a que se refiere la fracción II del artículo 100 de esta Ley. En el caso de que se omita dicha comunicación, el prestatario estará obligado a efectuar las retenciones correspondientes.</t>
  </si>
  <si>
    <t>V.</t>
  </si>
  <si>
    <t>Los honorarios que perciban las personas físicas de personas morales o de personas físicas con actividades empresariales a las que presten servicios personales independientes, cuando comuniquen por escrito al prestatario que optan por pagar el impuesto en los términos de este Capítulo.</t>
  </si>
  <si>
    <t>VI.</t>
  </si>
  <si>
    <t>Los ingresos que perciban las personas físicas de personas morales o de personas físicas con actividades empresariales, por las actividades empresariales que realicen, cuando comuniquen por escrito a la persona que efectúe el pago que optan por pagar el impuesto en los términos de este Capítulo.</t>
  </si>
  <si>
    <t>VII.</t>
  </si>
  <si>
    <t>Los ingresos obtenidos por las personas físicas por ejercer la opción otorgada por el empleador, o una parte relacionada del mismo, para adquirir, incluso mediante suscripción, acciones o títulos valor que representen bienes, sin costo alguno o a un precio menor o igual al de mercado que tengan dichas acciones o títulos valor al momento del ejercicio de la opción, independientemente de que las acciones o títulos valor sean emitidos por el empleador o la parte relacionada del mismo.
El ingreso acumulable será la diferencia que exista entre el valor de mercado que tengan las acciones o títulos valor sujetos a la opción, al momento en el que el contribuyente ejerza la misma y el precio establecido al otorgarse la opción.</t>
  </si>
  <si>
    <t>Ajuste en Ingresos en acciones o títulos valor que representan bienes Gravado</t>
  </si>
  <si>
    <t>Ajuste a ingresos asimilados a salarios gravados</t>
  </si>
  <si>
    <t>Ajuste en Prima por antigüedad Exento</t>
  </si>
  <si>
    <t>Ajuste en Prima por antigüedad Gravado</t>
  </si>
  <si>
    <t>Ajuste en Pagos por separación Exento</t>
  </si>
  <si>
    <t>Ajuste en Pagos por separación Gravado</t>
  </si>
  <si>
    <t>Ajuste en Indemnizaciones Exento</t>
  </si>
  <si>
    <t>Ajuste en Indemnizaciones Gravado</t>
  </si>
  <si>
    <t>Ajuste en Pagos por separación Acumulable</t>
  </si>
  <si>
    <t>Ajuste en Cuotas Sindicales Pagadas por el Patrón Gravado</t>
  </si>
  <si>
    <r>
      <t xml:space="preserve">Alimentación </t>
    </r>
    <r>
      <rPr>
        <sz val="11"/>
        <color indexed="8"/>
        <rFont val="Arial"/>
        <family val="2"/>
      </rPr>
      <t>diferentes a los establecidos en el Art 94 penúltimo párrafo LISR</t>
    </r>
  </si>
  <si>
    <t>Días de descanso obligatorios laborados</t>
  </si>
  <si>
    <t>Previsión social, Art 93 fracciones VIII y IX LISR</t>
  </si>
  <si>
    <t>Ajuste a días de descanso obligatorios laborados gravados</t>
  </si>
  <si>
    <t>Ajuste a días de descanso obligatorios laborados exentos</t>
  </si>
  <si>
    <t>Ajuste previsión social Art 93 fracciones VIII y IX LISR gravados</t>
  </si>
  <si>
    <t>Ajuste previsión social Art 93 fracciones VIII y IX LISR exentos</t>
  </si>
  <si>
    <t>Reintegro de ISR retenido en exceso (siempre que no haya sido enterado al SAT).</t>
  </si>
  <si>
    <t>Alimentos en bienes (Servicios de comedor y comida) Art 94 penúltimo párrafo LISR.</t>
  </si>
  <si>
    <r>
      <rPr>
        <b/>
        <sz val="11"/>
        <color theme="1"/>
        <rFont val="Aptos Narrow"/>
        <family val="2"/>
        <scheme val="minor"/>
      </rPr>
      <t>Artículo 93 LISR</t>
    </r>
    <r>
      <rPr>
        <sz val="11"/>
        <color theme="1"/>
        <rFont val="Aptos Narrow"/>
        <family val="2"/>
        <scheme val="minor"/>
      </rPr>
      <t>. No se pagará el impuesto sobre la renta por la obtención de los siguientes ingresos:
VI.	Los percibidos con motivo del reembolso de gastos médicos, dentales, hospitalarios y de funeral, que se concedan de manera general, de acuerdo con las leyes o contratos de trabajo.</t>
    </r>
  </si>
  <si>
    <t>Proveedor</t>
  </si>
  <si>
    <t>Folio CFDI</t>
  </si>
  <si>
    <t>Tipo gasto</t>
  </si>
  <si>
    <t>Monto</t>
  </si>
  <si>
    <t>A-88920</t>
  </si>
  <si>
    <t>Hospitalario</t>
  </si>
  <si>
    <t>DC-5542</t>
  </si>
  <si>
    <t>Dental</t>
  </si>
  <si>
    <t>Total reembolso</t>
  </si>
  <si>
    <t>Hospital Ángeles C</t>
  </si>
  <si>
    <t>Dental Clínica</t>
  </si>
  <si>
    <r>
      <t xml:space="preserve">Artículo 27 primer párrafo LSS. </t>
    </r>
    <r>
      <rPr>
        <sz val="11"/>
        <color theme="1"/>
        <rFont val="Aptos Narrow"/>
        <family val="2"/>
        <scheme val="minor"/>
      </rPr>
      <t>El salario base de cotización se integra con los pagos hechos en efectivo por cuota diaria, gratificaciones, percepciones, alimentación, habitación, primas, comisiones, prestaciones en especie y cualquiera otra cantidad o prestación que se entregue al trabajador por su trabajo. Se excluyen como integrantes del salario base de cotización, dada su naturaleza, los siguientes conceptos:</t>
    </r>
  </si>
  <si>
    <t>Consultar con el abogado</t>
  </si>
  <si>
    <t>083</t>
  </si>
  <si>
    <r>
      <t xml:space="preserve">Artículo 27 primer párrafo LSS. </t>
    </r>
    <r>
      <rPr>
        <sz val="11"/>
        <color theme="1"/>
        <rFont val="Aptos Narrow"/>
        <family val="2"/>
        <scheme val="minor"/>
      </rPr>
      <t>El salario base de cotización se integra con los pagos hechos en efectivo por cuota diaria, gratificaciones, percepciones, alimentación, habitación, primas, comisiones, prestaciones en especie y cualquiera otra cantidad o prestación que se entregue al trabajador por su trabajo. Se excluyen como integrantes del salario base de cotización, dada su naturaleza, los siguientes conceptos:</t>
    </r>
    <r>
      <rPr>
        <b/>
        <sz val="11"/>
        <color theme="1"/>
        <rFont val="Aptos Narrow"/>
        <family val="2"/>
        <scheme val="minor"/>
      </rPr>
      <t xml:space="preserve">
II. </t>
    </r>
    <r>
      <rPr>
        <sz val="11"/>
        <color theme="1"/>
        <rFont val="Aptos Narrow"/>
        <family val="2"/>
        <scheme val="minor"/>
      </rPr>
      <t>El ahorro, cuando se integre por un depósito de cantidad semanaria, quincenal o mensual igual del trabajador y de la empresa; si se constituye en forma diversa o puede el trabajador retirarlo más de dos veces al año, integrará salario; tampoco se tomarán en cuenta las cantidades otorgadas por el patrón para fines sociales de carácter sindical;</t>
    </r>
  </si>
  <si>
    <r>
      <rPr>
        <b/>
        <sz val="11"/>
        <color theme="1"/>
        <rFont val="Aptos Narrow"/>
        <family val="2"/>
        <scheme val="minor"/>
      </rPr>
      <t>Artículo 93 LISR</t>
    </r>
    <r>
      <rPr>
        <sz val="11"/>
        <color theme="1"/>
        <rFont val="Aptos Narrow"/>
        <family val="2"/>
        <scheme val="minor"/>
      </rPr>
      <t>. No se pagará el impuesto sobre la renta por la obtención de los siguientes ingresos:
XI. Los provenientes de cajas de ahorro de trabajadores y de fondos de ahorro establecidos por las empresas para sus trabajadores cuando reúnan los requisitos de deducibilidad del Título II de esta Ley o, en su caso, del presente Título.</t>
    </r>
  </si>
  <si>
    <t>Salario del trabajador</t>
  </si>
  <si>
    <t>% del fondo de ahorro</t>
  </si>
  <si>
    <t>Días pagados</t>
  </si>
  <si>
    <t>ANEXO 7 DE LA RESOLUCIÓN MISCELÁNEA FISCAL PARA 2025
Compilación de criterios normativos fiscales
32/ISR/N	Premios por asistencia y puntualidad. No son prestaciones de naturaleza análoga a la previsión social.
El artículo 93, fracción VIII de la Ley del ISR establece que no se pagará el impuesto por la obtención de ingresos percibidos con motivo de subsidios por incapacidad, becas educacionales para los trabajadores o sus hijos, guarderías infantiles, actividades culturales y deportivas, y otras prestaciones de previsión social, de naturaleza análoga, que se concedan de manera general, de acuerdo con las leyes o por contratos de trabajo.
El artículo 7, penúltimo párrafo de dicha Ley dispone que se considera previsión social, las erogaciones efectuadas por los patrones a favor de sus trabajadores, que tengan por objeto satisfacer contingencias o necesidades presentes o futuras, así como el otorgar beneficios a favor de dichos trabajadores tendientes a su superación física, social, económica o cultural, que les permitan el mejoramiento de su calidad de vida y la de su familia.
En tal virtud, los premios otorgados a los trabajadores por concepto de puntualidad y asistencia al ser conferidos como un estímulo a aquellos trabajadores que se encuentren en dichos supuestos, no tienen una naturaleza análoga a los ingresos exentos establecidos en el artículo 93, fracción VIII de la Ley del ISR, porque su finalidad no es hacer frente a contingencias futuras ni son conferidos de manera general.</t>
  </si>
  <si>
    <r>
      <t xml:space="preserve">Artículo 27 primer párrafo LSS. </t>
    </r>
    <r>
      <rPr>
        <sz val="11"/>
        <color theme="1"/>
        <rFont val="Aptos Narrow"/>
        <family val="2"/>
        <scheme val="minor"/>
      </rPr>
      <t>El salario base de cotización se integra con los pagos hechos en efectivo por cuota diaria, gratificaciones, percepciones, alimentación, habitación, primas, comisiones, prestaciones en especie y cualquiera otra cantidad o prestación que se entregue al trabajador por su trabajo. Se excluyen como integrantes del salario base de cotización, dada su naturaleza, los siguientes conceptos:</t>
    </r>
    <r>
      <rPr>
        <b/>
        <sz val="11"/>
        <color theme="1"/>
        <rFont val="Aptos Narrow"/>
        <family val="2"/>
        <scheme val="minor"/>
      </rPr>
      <t xml:space="preserve">
VII. </t>
    </r>
    <r>
      <rPr>
        <sz val="11"/>
        <color theme="1"/>
        <rFont val="Aptos Narrow"/>
        <family val="2"/>
        <scheme val="minor"/>
      </rPr>
      <t>Los premios por asistencia y puntualidad, siempre que el importe de cada uno de estos conceptos no rebase el diez por ciento del salario base de cotización</t>
    </r>
  </si>
  <si>
    <r>
      <rPr>
        <b/>
        <sz val="11"/>
        <color theme="1"/>
        <rFont val="Aptos Narrow"/>
        <family val="2"/>
        <scheme val="minor"/>
      </rPr>
      <t xml:space="preserve">21. Para el caso del fondo de ahorro de los trabajadores, con el objeto de no duplicar el registro de los ingresos del trabajador, ¿Cómo debe registrarse en el Complemento de sueldos, salarios e ingresos asimilados?, ¿Cómo un ingreso en cada pago y una deducción por aportación patronal al fondo de ahorro? ¿O se registra hasta que se cobra el monto ahorrado y los intereses? </t>
    </r>
    <r>
      <rPr>
        <sz val="11"/>
        <color theme="1"/>
        <rFont val="Aptos Narrow"/>
        <family val="2"/>
        <scheme val="minor"/>
      </rPr>
      <t xml:space="preserve">
Al ser las aportaciones patronales al fondo de ahorro una prestación derivada de la relación laboral, son ingresos por la prestación de un servicio personal subordinado; de esta forma deben registrarse en el catálogo de percepciones del Complemento en cada pago de salarios que se realice, al mismo tiempo que debe registrarse en el catálogo de deducciones del Complemento el descuento correspondiente para realizar el depósito al fondo.  
Al momento de percibir el monto ahorrado y los intereses, el pagador de éstos debe expedir un CFDI por este concepto, es decir, por intereses, ya que se trata de estos y no de un sueldo, salario o ingreso asimilado. </t>
    </r>
  </si>
  <si>
    <t>Apéndice 3 guía de llenado del SAT</t>
  </si>
  <si>
    <r>
      <t xml:space="preserve">Artículo 93 LISR. </t>
    </r>
    <r>
      <rPr>
        <sz val="11"/>
        <color theme="1"/>
        <rFont val="Aptos Narrow"/>
        <family val="2"/>
        <scheme val="minor"/>
      </rPr>
      <t>No se pagará el impuesto sobre la renta por la obtención de los siguientes ingresos:
VIII. Los percibidos con motivo de subsidios por incapacidad, becas educacionales para los trabajadores o sus hijos, guarderías infantiles, actividades culturales y deportivas, y otras prestaciones de previsión social, de naturaleza análoga, que se concedan de manera general, de acuerdo con las leyes o por contratos de trabajo.
IX.	La previsión social a que se refiere la fracción anterior es la establecida en el artículo 7, quinto párrafo de esta Ley.</t>
    </r>
  </si>
  <si>
    <t>Si la póliza es anual</t>
  </si>
  <si>
    <r>
      <rPr>
        <b/>
        <sz val="11"/>
        <color theme="1"/>
        <rFont val="Aptos Narrow"/>
        <family val="2"/>
        <scheme val="minor"/>
      </rPr>
      <t xml:space="preserve">22. ¿En qué momento y cómo se deberán reportar los gastos médicos mayores y el seguro de vida, se reportan cómo concepto de percepción del empleado? </t>
    </r>
    <r>
      <rPr>
        <sz val="11"/>
        <color theme="1"/>
        <rFont val="Aptos Narrow"/>
        <family val="2"/>
        <scheme val="minor"/>
      </rPr>
      <t xml:space="preserve">
Las primas que amparen estos seguros (por ambos conceptos) que sean otorgadas al trabajador por cuenta del patrón, al ser prestaciones derivadas de la relación laboral, se reportan en el Complemento, las primas a cargo del patrón primero como percepción y luego como deducción por pago de prima a cargo del patrón. 
Cuando se realice el siniestro y esto de origen al pago de la cantidad asegurada por parte de la empresa asegurada, dichas cantidades no tienen el carácter de sueldos y salarios, y por ende, no requieren ser incluidas en el Complemento. 
</t>
    </r>
    <r>
      <rPr>
        <b/>
        <sz val="11"/>
        <color theme="1"/>
        <rFont val="Aptos Narrow"/>
        <family val="2"/>
        <scheme val="minor"/>
      </rPr>
      <t>Fundamento Legal:</t>
    </r>
    <r>
      <rPr>
        <sz val="11"/>
        <color theme="1"/>
        <rFont val="Aptos Narrow"/>
        <family val="2"/>
        <scheme val="minor"/>
      </rPr>
      <t xml:space="preserve"> Artículos 27, fracción XI, 93, primer párrafo, fracción XXI y 94 de la Ley del Impuesto sobre la Renta. </t>
    </r>
  </si>
  <si>
    <r>
      <rPr>
        <b/>
        <sz val="11"/>
        <color theme="1"/>
        <rFont val="Aptos Narrow"/>
        <family val="2"/>
        <scheme val="minor"/>
      </rPr>
      <t xml:space="preserve">23. En el caso de la deducción por pago de prima de gastos médicos mayores, ¿Se puede incluir una sola vez al año en un recibo de nómina? </t>
    </r>
    <r>
      <rPr>
        <sz val="11"/>
        <color theme="1"/>
        <rFont val="Aptos Narrow"/>
        <family val="2"/>
        <scheme val="minor"/>
      </rPr>
      <t xml:space="preserve">
La deducción por pago de prima se debe reflejar en el CFDI conforme se vaya devengando. 
</t>
    </r>
    <r>
      <rPr>
        <b/>
        <sz val="11"/>
        <color theme="1"/>
        <rFont val="Aptos Narrow"/>
        <family val="2"/>
        <scheme val="minor"/>
      </rPr>
      <t>Fundamento Legal</t>
    </r>
    <r>
      <rPr>
        <sz val="11"/>
        <color theme="1"/>
        <rFont val="Aptos Narrow"/>
        <family val="2"/>
        <scheme val="minor"/>
      </rPr>
      <t>: Artículos 27, fracción XI, 93, primer párrafo, fracción XXI y 94 de la Ley del Impuesto sobre la Renta.</t>
    </r>
  </si>
  <si>
    <r>
      <t xml:space="preserve">Documentos de prueba por cada beca otorgada
</t>
    </r>
    <r>
      <rPr>
        <sz val="11"/>
        <color theme="1"/>
        <rFont val="Aptos Narrow"/>
        <family val="2"/>
        <scheme val="minor"/>
      </rPr>
      <t>- Solicitud de la beca (formato interno firmado por el trabajador)
- Constancia escolar / inscripción
- A nombre del hijo o trabajador
- Ciclo vigente
- Comprobante de pago o factura de la escuela (si aplica)
- Estado de cuenta bancario donde se refleje el pago del patrón (si se paga directo a la institución)</t>
    </r>
  </si>
  <si>
    <r>
      <t xml:space="preserve">Artículo 93 LISR. </t>
    </r>
    <r>
      <rPr>
        <sz val="11"/>
        <color theme="1"/>
        <rFont val="Aptos Narrow"/>
        <family val="2"/>
        <scheme val="minor"/>
      </rPr>
      <t>No se pagará el impuesto sobre la renta por la obtención de los siguientes ingresos:
I. Las prestaciones distintas del salario que reciban los trabajadores del salario mínimo general para una o varias áreas geográficas, calculadas sobre la base de dicho salario, cuando no excedan de los mínimos señalados por la legislación laboral, así como las remuneraciones por concepto de tiempo extraordinario o de prestación de servicios que se realice en los días de descanso sin disfrutar de otros en sustitución, hasta el límite establecido en la legislación laboral, que perciban dichos trabajadores. Tratándose de los demás trabajadores, el 50% de las remuneraciones por concepto de tiempo extraordinario o de la prestación de servicios que se realice en los días de descanso sin disfrutar de otros en sustitución, que no exceda el límite previsto en la legislación laboral y sin que esta exención exceda del equivalente de cinco veces el salario mínimo general del área geográfica del trabajador por cada semana de servicios.</t>
    </r>
  </si>
  <si>
    <t>Tipo de horas extras</t>
  </si>
  <si>
    <t>No. de horas</t>
  </si>
  <si>
    <t>Cuota por hora</t>
  </si>
  <si>
    <t>Total a pagar</t>
  </si>
  <si>
    <t>UMA</t>
  </si>
  <si>
    <t>Lunes</t>
  </si>
  <si>
    <t>Martes</t>
  </si>
  <si>
    <t>Miércoles</t>
  </si>
  <si>
    <t>Jueves</t>
  </si>
  <si>
    <t>Viernes</t>
  </si>
  <si>
    <t>Sábado</t>
  </si>
  <si>
    <t>Domingo</t>
  </si>
  <si>
    <t>Doble</t>
  </si>
  <si>
    <t>Simple</t>
  </si>
  <si>
    <t>Triple</t>
  </si>
  <si>
    <t>Zona del SMG</t>
  </si>
  <si>
    <t>Determinación del tiempo extra exento</t>
  </si>
  <si>
    <t>Horas extras simples de acuerdo con el artículo 65 LFT</t>
  </si>
  <si>
    <t>Horas extras triples</t>
  </si>
  <si>
    <t>Importe total</t>
  </si>
  <si>
    <t>Total de horas</t>
  </si>
  <si>
    <t>Horas extras</t>
  </si>
  <si>
    <t>Importe a comparar para exento</t>
  </si>
  <si>
    <r>
      <rPr>
        <b/>
        <sz val="11"/>
        <color theme="1"/>
        <rFont val="Aptos Narrow"/>
        <family val="2"/>
        <scheme val="minor"/>
      </rPr>
      <t>Artículo 87 LFT.-</t>
    </r>
    <r>
      <rPr>
        <sz val="11"/>
        <color theme="1"/>
        <rFont val="Aptos Narrow"/>
        <family val="2"/>
        <scheme val="minor"/>
      </rPr>
      <t xml:space="preserve"> Los trabajadores tendrán derecho a un aguinaldo anual que deberá pagarse antes del día veinte de diciembre, equivalente a quince días de salario, por lo menos.
Los que no hayan cumplido el año de servicios, independientemente de que se encuentren laborando o no en la fecha de liquidación del aguinaldo, tendrán derecho a que se les pague la parte proporcional del mismo, conforme al tiempo que hubieren trabajado, cualquiera que fuere éste.</t>
    </r>
  </si>
  <si>
    <t>% de prima vacacional</t>
  </si>
  <si>
    <r>
      <t xml:space="preserve">Artículo 27 primer párrafo LSS. </t>
    </r>
    <r>
      <rPr>
        <sz val="11"/>
        <color theme="1"/>
        <rFont val="Aptos Narrow"/>
        <family val="2"/>
        <scheme val="minor"/>
      </rPr>
      <t>El salario base de cotización se integra con los pagos hechos en efectivo por cuota diaria, gratificaciones, percepciones, alimentación, habitación, primas, comisiones, prestaciones en especie y cualquiera otra cantidad o prestación que se entregue al trabajador por su trabajo. Se excluyen como integrantes del salario base de cotización, dada su naturaleza, los siguientes conceptos:</t>
    </r>
    <r>
      <rPr>
        <b/>
        <sz val="11"/>
        <color theme="1"/>
        <rFont val="Aptos Narrow"/>
        <family val="2"/>
        <scheme val="minor"/>
      </rPr>
      <t xml:space="preserve">
III.</t>
    </r>
    <r>
      <rPr>
        <sz val="11"/>
        <color theme="1"/>
        <rFont val="Aptos Narrow"/>
        <family val="2"/>
        <scheme val="minor"/>
      </rPr>
      <t xml:space="preserve"> Las aportaciones adicionales que el patrón convenga otorgar a favor de sus trabajadores por concepto de cuotas del seguro de retiro, cesantía en edad avanzada y vejez;</t>
    </r>
  </si>
  <si>
    <r>
      <t xml:space="preserve">Artículo 93 LISR. </t>
    </r>
    <r>
      <rPr>
        <sz val="11"/>
        <color theme="1"/>
        <rFont val="Aptos Narrow"/>
        <family val="2"/>
        <scheme val="minor"/>
      </rPr>
      <t>No se pagará el impuesto sobre la renta por la obtención de los siguientes ingresos:
XIII.	Los que obtengan las personas que han estado sujetas a una relación laboral en el momento de su separación, por concepto de primas de antigüedad, retiro e indemnizaciones u otros pagos, así como los obtenidos con cargo a la subcuenta del seguro de retiro o a la subcuenta de retiro, cesantía en edad avanzada y vejez, previstas en la Ley del Seguro Social y los que obtengan los trabajadores al servicio del Estado con cargo a la cuenta individual del sistema de ahorro para el retiro, prevista en la Ley del Instituto de Seguridad y Servicios Sociales de los Trabajadores del Estado, y los que obtengan por concepto del beneficio previsto en la Ley de Pensión Universal, hasta por el equivalente a noventa veces el salario mínimo general del área geográfica del contribuyente por cada año de servicio o de contribución en el caso de la subcuenta del seguro de retiro, de la subcuenta de retiro, cesantía en edad avanzada y vejez o de la cuenta individual del sistema de ahorro para el retiro. Los años de servicio serán los que se hubieran considerado para el cálculo de los conceptos mencionados. Toda fracción de más de seis meses se considerará un año completo. Por el excedente se pagará el impuesto en los términos de este Título.</t>
    </r>
  </si>
  <si>
    <t>Años completos LFT</t>
  </si>
  <si>
    <t>Años para exención</t>
  </si>
  <si>
    <t>Indemnización 20 días por año</t>
  </si>
  <si>
    <t>¿Se calcula?</t>
  </si>
  <si>
    <t>Indemnización 3 meses</t>
  </si>
  <si>
    <t>Horas extras dobles de acuerdo al artículo 66 LFT</t>
  </si>
  <si>
    <t xml:space="preserve">Días </t>
  </si>
  <si>
    <t>Total de pagos por separación</t>
  </si>
  <si>
    <t>(-) Último sueldo mensual ordinario</t>
  </si>
  <si>
    <t>(=) Ingreso no acumulable</t>
  </si>
  <si>
    <t>Total pagado</t>
  </si>
  <si>
    <t>Número de años de servicio</t>
  </si>
  <si>
    <t>Ingreso acumulable</t>
  </si>
  <si>
    <t>Ingreso no acumulable</t>
  </si>
  <si>
    <r>
      <t xml:space="preserve">Artículo 27 primer párrafo LSS. </t>
    </r>
    <r>
      <rPr>
        <sz val="11"/>
        <color theme="1"/>
        <rFont val="Aptos Narrow"/>
        <family val="2"/>
        <scheme val="minor"/>
      </rPr>
      <t>El salario base de cotización se integra con los pagos hechos en efectivo por cuota diaria, gratificaciones, percepciones, alimentación, habitación, primas, comisiones, prestaciones en especie y cualquiera otra cantidad o prestación que se entregue al trabajador por su trabajo. Se excluyen como integrantes del salario base de cotización, dada su naturaleza, los siguientes conceptos:</t>
    </r>
    <r>
      <rPr>
        <b/>
        <sz val="11"/>
        <color theme="1"/>
        <rFont val="Aptos Narrow"/>
        <family val="2"/>
        <scheme val="minor"/>
      </rPr>
      <t xml:space="preserve">
IV. </t>
    </r>
    <r>
      <rPr>
        <sz val="11"/>
        <color theme="1"/>
        <rFont val="Aptos Narrow"/>
        <family val="2"/>
        <scheme val="minor"/>
      </rPr>
      <t>Las cuotas que en términos de esta Ley le corresponde cubrir al patrón, las aportaciones al Instituto del Fondo Nacional de la Vivienda para los Trabajadores, y las participaciones en las utilidades de la empresa</t>
    </r>
    <r>
      <rPr>
        <b/>
        <sz val="11"/>
        <color theme="1"/>
        <rFont val="Aptos Narrow"/>
        <family val="2"/>
        <scheme val="minor"/>
      </rPr>
      <t xml:space="preserve">.
Artículo 36 LSS. </t>
    </r>
    <r>
      <rPr>
        <sz val="11"/>
        <color theme="1"/>
        <rFont val="Aptos Narrow"/>
        <family val="2"/>
        <scheme val="minor"/>
      </rPr>
      <t>Corresponde al patrón pagar íntegramente la cuota señalada para los trabajadores, en los casos en que éstos perciban como cuota diaria el salario mínimo.</t>
    </r>
  </si>
  <si>
    <r>
      <t xml:space="preserve">Artículo 285 LFT.- </t>
    </r>
    <r>
      <rPr>
        <sz val="11"/>
        <color theme="1"/>
        <rFont val="Aptos Narrow"/>
        <family val="2"/>
        <scheme val="minor"/>
      </rPr>
      <t>Los agentes de comercio, de seguros, los vendedores, viajantes, propagandistas o impulsores de ventas y otros semejantes, son trabajadores de la empresa o empresas a las que presten sus servicios, cuando su actividad sea permanente, salvo que no ejecuten personalmente el trabajo o que únicamente intervengan en operaciones aisladas.</t>
    </r>
    <r>
      <rPr>
        <b/>
        <sz val="11"/>
        <color theme="1"/>
        <rFont val="Aptos Narrow"/>
        <family val="2"/>
        <scheme val="minor"/>
      </rPr>
      <t xml:space="preserve">
Artículo 286 LFT.- </t>
    </r>
    <r>
      <rPr>
        <sz val="11"/>
        <color theme="1"/>
        <rFont val="Aptos Narrow"/>
        <family val="2"/>
        <scheme val="minor"/>
      </rPr>
      <t>El salario a comisión puede comprender una prima sobre el valor de la mercancía vendida o colocada, sobre el pago inicial o sobre los pagos periódicos, o dos o las tres de dichas primas.</t>
    </r>
  </si>
  <si>
    <r>
      <t xml:space="preserve">Artículo 27 primer párrafo LSS. </t>
    </r>
    <r>
      <rPr>
        <sz val="11"/>
        <color theme="1"/>
        <rFont val="Aptos Narrow"/>
        <family val="2"/>
        <scheme val="minor"/>
      </rPr>
      <t>El salario base de cotización se integra con los pagos hechos en efectivo por cuota diaria, gratificaciones, percepciones, alimentación, habitación, primas, comisiones, prestaciones en especie y cualquiera otra cantidad o prestación que se entregue al trabajador por su trabajo. Se excluyen como integrantes del salario base de cotización, dada su naturaleza, los siguientes conceptos:</t>
    </r>
    <r>
      <rPr>
        <b/>
        <sz val="11"/>
        <color theme="1"/>
        <rFont val="Aptos Narrow"/>
        <family val="2"/>
        <scheme val="minor"/>
      </rPr>
      <t xml:space="preserve">
V. </t>
    </r>
    <r>
      <rPr>
        <sz val="11"/>
        <color theme="1"/>
        <rFont val="Aptos Narrow"/>
        <family val="2"/>
        <scheme val="minor"/>
      </rPr>
      <t>La alimentación y la habitación cuando se entreguen en forma onerosa a los trabajadores; se entiende que son onerosas estas prestaciones cuando el trabajador pague por cada una de ellas, como mínimo, el veinte por ciento del salario mínimo general diario que rija en el Distrito Federal;</t>
    </r>
    <r>
      <rPr>
        <b/>
        <sz val="11"/>
        <color theme="1"/>
        <rFont val="Aptos Narrow"/>
        <family val="2"/>
        <scheme val="minor"/>
      </rPr>
      <t xml:space="preserve">
VI. </t>
    </r>
    <r>
      <rPr>
        <sz val="11"/>
        <color theme="1"/>
        <rFont val="Aptos Narrow"/>
        <family val="2"/>
        <scheme val="minor"/>
      </rPr>
      <t>Las despensas en especie o en dinero, siempre y cuando su importe no rebase el cuarenta por ciento del salario mínimo general diario vigente en el Distrito Federal;</t>
    </r>
  </si>
  <si>
    <r>
      <t xml:space="preserve">Artículo 93 LISR. </t>
    </r>
    <r>
      <rPr>
        <sz val="11"/>
        <color theme="1"/>
        <rFont val="Aptos Narrow"/>
        <family val="2"/>
        <scheme val="minor"/>
      </rPr>
      <t xml:space="preserve">No se pagará el impuesto sobre la renta por la obtención de los siguientes ingresos:
XVII.	Los viáticos, cuando sean efectivamente erogados en servicio del patrón y se compruebe esta circunstancia con los comprobantes fiscales correspondientes.
</t>
    </r>
    <r>
      <rPr>
        <b/>
        <sz val="11"/>
        <color theme="1"/>
        <rFont val="Aptos Narrow"/>
        <family val="2"/>
        <scheme val="minor"/>
      </rPr>
      <t>Artículo 152 RLISR</t>
    </r>
    <r>
      <rPr>
        <sz val="11"/>
        <color theme="1"/>
        <rFont val="Aptos Narrow"/>
        <family val="2"/>
        <scheme val="minor"/>
      </rPr>
      <t>. Para efectos del artículo 93, fracción XVII de la Ley, las personas físicas que reciban viáticos y efectivamente los eroguen en servicio del patrón, podrán no presentar comprobantes fiscales hasta por un 20% del total de viáticos erogados en cada ocasión, cuando no existan servicios para emitir los mismos, sin que en ningún caso el monto que no se compruebe exceda de $15,000.00 en el ejercicio fiscal de que se trate, siempre que el monto restante de los viáticos se eroguen mediante tarjeta de crédito, de débito o de servicio del patrón. La parte que en su caso no se erogue deberá ser reintegrada por la persona física que reciba los viáticos o en caso contrario no le será aplicable lo dispuesto en este artículo.
Las cantidades no comprobadas se considerarán ingresos exentos para efectos del Impuesto, siempre que además se cumplan con los requisitos del artículo 28, fracción V de la Ley.
Lo dispuesto en el presente artículo no es aplicable tratándose de gastos de hospedaje y de pasajes de avión.</t>
    </r>
  </si>
  <si>
    <r>
      <t xml:space="preserve">Artículo 73 LFT.- </t>
    </r>
    <r>
      <rPr>
        <sz val="11"/>
        <color theme="1"/>
        <rFont val="Aptos Narrow"/>
        <family val="2"/>
        <scheme val="minor"/>
      </rPr>
      <t xml:space="preserve">Los trabajadores no están obligados a prestar servicios en sus días de descanso. Si se quebranta esta disposición, el patrón pagará al trabajador, independientemente del salario que le corresponda por el descanso, un salario doble por el servicio prestado.
</t>
    </r>
    <r>
      <rPr>
        <b/>
        <sz val="11"/>
        <color theme="1"/>
        <rFont val="Aptos Narrow"/>
        <family val="2"/>
        <scheme val="minor"/>
      </rPr>
      <t>Artículo 74 LFT</t>
    </r>
    <r>
      <rPr>
        <sz val="11"/>
        <color theme="1"/>
        <rFont val="Aptos Narrow"/>
        <family val="2"/>
        <scheme val="minor"/>
      </rPr>
      <t>. Son días de descanso obligatorio:
I. 	El 1o. de enero;
II. 	El primer lunes de febrero en conmemoración del 5 de febrero;
III. 	El tercer lunes de marzo en conmemoración del 21 de marzo;
IV. 	El 1o. de mayo;
V. 	El 16 de septiembre;
VI. 	El tercer lunes de noviembre en conmemoración del 20 de noviembre;
VII.	El 1o. de octubre de cada seis años, cuando corresponda a la transmisión del Poder Ejecutivo Federal;
VIII. 	El 25 de diciembre, y
IX. 	El que determinen las leyes federales y locales electorales, en el caso de elecciones ordinarias, para efectuar la jornada electoral.</t>
    </r>
  </si>
  <si>
    <t xml:space="preserve"> c_TipoOtroPago</t>
  </si>
  <si>
    <t>Viáticos (entregados al trabajador).</t>
  </si>
  <si>
    <t>Reembolso de descuentos efectuados para el crédito de vivienda.</t>
  </si>
  <si>
    <t>Pagos distintos a los listados y que no deben considerarse como ingreso por sueldos, salarios o ingresos asimilados.</t>
  </si>
  <si>
    <t>Ajuste en Viáticos (entregados al trabajador)</t>
  </si>
  <si>
    <t>Tipo deducción</t>
  </si>
  <si>
    <t>Convertir a:</t>
  </si>
  <si>
    <t>(+) Otros ingresos del periodo</t>
  </si>
  <si>
    <t>(-) Disminuciones por ajustes o exentos</t>
  </si>
  <si>
    <t>(=) Ingreso base para ISR</t>
  </si>
  <si>
    <t>Límite máximo de ISR base para SE</t>
  </si>
  <si>
    <t>(+) Ingreso acumulable para determinar el SE (dato informativo)</t>
  </si>
  <si>
    <t>ISR causado</t>
  </si>
  <si>
    <t>(-) Subsidio al empleo causado</t>
  </si>
  <si>
    <t>Unidad de obra</t>
  </si>
  <si>
    <t>Período de Trabajo</t>
  </si>
  <si>
    <t>Días Trabajados</t>
  </si>
  <si>
    <t>Metros Cuadrados Instalados</t>
  </si>
  <si>
    <t>Cuota por metro cuadrado</t>
  </si>
  <si>
    <t>Percepción Total</t>
  </si>
  <si>
    <t>Salario diario promedio</t>
  </si>
  <si>
    <t>Determinción cuando la retribución es variable</t>
  </si>
  <si>
    <t>Fecha inicial cálculo</t>
  </si>
  <si>
    <t>Fecha de aumento (en su caso)</t>
  </si>
  <si>
    <t>Periodo trabajado</t>
  </si>
  <si>
    <t>Percepciones pagadas</t>
  </si>
  <si>
    <t>1) Entradas (editar celdas con relleno de color verde)</t>
  </si>
  <si>
    <t>Salario base de cotización en semana reducida</t>
  </si>
  <si>
    <t>Salario base de cotización en jornada reducida</t>
  </si>
  <si>
    <t>Días de la semana</t>
  </si>
  <si>
    <t>Horas trabajadas</t>
  </si>
  <si>
    <t>Total percibido por cada unidad de tiempo</t>
  </si>
  <si>
    <t>Cuota por hora que se paga</t>
  </si>
  <si>
    <t xml:space="preserve">(/) </t>
  </si>
  <si>
    <t>(=) SBC</t>
  </si>
  <si>
    <t>Días que trabaja</t>
  </si>
  <si>
    <t>(+) Séptimo día</t>
  </si>
  <si>
    <t>(=) Base para SBC</t>
  </si>
  <si>
    <t>(=) Resultado</t>
  </si>
  <si>
    <t>(x) Factor de integración</t>
  </si>
  <si>
    <t>Salario base de cotización IMSS</t>
  </si>
  <si>
    <t>Concepto (según RMF 3.3.1.29)</t>
  </si>
  <si>
    <t>Total pagado - Ejercicio</t>
  </si>
  <si>
    <t>Exento - Ejercicio</t>
  </si>
  <si>
    <t>Gravado - Ejercicio</t>
  </si>
  <si>
    <t>Total pagado - Año anterior</t>
  </si>
  <si>
    <t>Exento - Año anterior</t>
  </si>
  <si>
    <t>Gravado - Año anterior</t>
  </si>
  <si>
    <t>Notas</t>
  </si>
  <si>
    <t>Sueldos y salarios</t>
  </si>
  <si>
    <t>Rayas y jornales</t>
  </si>
  <si>
    <t>Gratificaciones y aguinaldo</t>
  </si>
  <si>
    <t>Premios por puntualidad o asistencia</t>
  </si>
  <si>
    <t>Participación de los trabajadores en las utilidades</t>
  </si>
  <si>
    <t>Seguro de vida</t>
  </si>
  <si>
    <t>Reembolso de gastos médicos, dentales y hospitalarios</t>
  </si>
  <si>
    <t>Seguro de gastos médicos</t>
  </si>
  <si>
    <t>Fondo y cajas de ahorro</t>
  </si>
  <si>
    <t>Vales para despensa, restaurante, gasolina y ropa</t>
  </si>
  <si>
    <t>Ayuda de transporte</t>
  </si>
  <si>
    <t>Cuotas sindicales pagadas por el patrón</t>
  </si>
  <si>
    <t>Fondo de pensiones, aportaciones del patrón</t>
  </si>
  <si>
    <t>Prima de antigüedad (aportaciones)</t>
  </si>
  <si>
    <t>Gastos por fiesta de fin de año y otros</t>
  </si>
  <si>
    <t>Becas para trabajadores y/o sus hijos</t>
  </si>
  <si>
    <t>Ayuda de renta, artículos escolares y dotación de anteojos</t>
  </si>
  <si>
    <t>Ayuda a los trabajadores para gastos de funeral</t>
  </si>
  <si>
    <t>Intereses subsidiados en créditos al personal</t>
  </si>
  <si>
    <t>Jubilaciones, pensiones y haberes de retiro</t>
  </si>
  <si>
    <t>Contribuciones a cargo del trabajador pagadas por el patrón</t>
  </si>
  <si>
    <t>TOTALES</t>
  </si>
  <si>
    <t>Determinación del factor de NO DEDUCIBLES (Art. 28 fr. XXX LISR / Regla 3.3.1.29)</t>
  </si>
  <si>
    <t>Total remuneraciones + prestaciones (Ejercicio)</t>
  </si>
  <si>
    <t>Total exentos (Ejercicio)</t>
  </si>
  <si>
    <t>Cociente Ejercicio = Exentos / Total</t>
  </si>
  <si>
    <t>Total remuneraciones + prestaciones (Año anterior)</t>
  </si>
  <si>
    <t>Total exentos (Año anterior)</t>
  </si>
  <si>
    <t>Cociente Año anterior = Exentos / Total</t>
  </si>
  <si>
    <t>¿Disminuyeron las prestaciones exentas?</t>
  </si>
  <si>
    <t>Factor NO deducible sobre exentos</t>
  </si>
  <si>
    <t>Monto NO deducible = Exentos * Factor</t>
  </si>
  <si>
    <t>Monto deducible de exentos</t>
  </si>
  <si>
    <t>Total gravado (Ejercicio)</t>
  </si>
  <si>
    <t>Total deducible (Gravado + Exentos deducibles)</t>
  </si>
  <si>
    <t>Total pagado (Ejercicio)</t>
  </si>
  <si>
    <t>Regla 3.3.1.29: si el cociente del ejercicio es menor que el del ejercicio inmediato anterior, hubo disminución y no es deducible el 53% de los pagos exentos.</t>
  </si>
  <si>
    <t>Capture información en las celdas de color verde</t>
  </si>
  <si>
    <t>¿Con límite?</t>
  </si>
  <si>
    <t>02</t>
  </si>
  <si>
    <t>Dependiendo lo que se pague</t>
  </si>
  <si>
    <r>
      <t xml:space="preserve">La exención aplicable a los ingresos obtenidos por concepto de prestaciones de previsión social se limitará cuando la suma de los ingresos por la prestación de servicios personales subordinados o aquellos que reciban, por parte de las sociedades cooperativas, los socios o miembros de las mismas y el monto de la exención exceda de una cantidad equivalente a siete veces el salario mínimo general del área geográfica del contribuyente, elevado al año; cuando dicha suma exceda de la cantidad citada, solamente se considerará como ingreso no sujeto al pago del impuesto un monto hasta de un salario mínimo general del área geográfica del contribuyente, elevado al año. Esta limitación en ningún caso deberá dar como resultado que la suma de los ingresos por la prestación de servicios personales subordinados o aquellos que reciban, por parte de las sociedades cooperativas, los socios o miembros de las mismas y el importe de la exención, sea inferior a siete veces el salario mínimo general del área geográfica del contribuyente, elevado al año
</t>
    </r>
    <r>
      <rPr>
        <b/>
        <sz val="11"/>
        <color theme="1"/>
        <rFont val="Aptos Narrow"/>
        <family val="2"/>
        <scheme val="minor"/>
      </rPr>
      <t>Fundamento</t>
    </r>
    <r>
      <rPr>
        <sz val="11"/>
        <color theme="1"/>
        <rFont val="Aptos Narrow"/>
        <family val="2"/>
        <scheme val="minor"/>
      </rPr>
      <t>: Artículo 93 sexto párrafo LISR</t>
    </r>
  </si>
  <si>
    <t>1 UMA elevada al año</t>
  </si>
  <si>
    <r>
      <t xml:space="preserve">Se consideran ingresos por la prestación de un servicio personal subordinado, los salarios y demás prestaciones que deriven de una relación laboral, incluyendo la participación de los trabajadores en las utilidades de las empresas y las prestaciones percibidas como consecuencia de la terminación de la relación laboral.
</t>
    </r>
    <r>
      <rPr>
        <b/>
        <sz val="11"/>
        <color theme="1"/>
        <rFont val="Aptos Narrow"/>
        <family val="2"/>
        <scheme val="minor"/>
      </rPr>
      <t>Fundamento</t>
    </r>
    <r>
      <rPr>
        <sz val="11"/>
        <color theme="1"/>
        <rFont val="Aptos Narrow"/>
        <family val="2"/>
        <scheme val="minor"/>
      </rPr>
      <t>: Artículo 94 primer párrafo LISR</t>
    </r>
  </si>
  <si>
    <t>Ingresos por salarios</t>
  </si>
  <si>
    <t>(+) Previsión social con límite</t>
  </si>
  <si>
    <t>(=) Resultado I</t>
  </si>
  <si>
    <t>Comprar contra 7 UMAS elevadas al año</t>
  </si>
  <si>
    <t>Sí ②&gt;① entonces el límite de la exención es de 1 uma elevada al año</t>
  </si>
  <si>
    <t>Comprar los ingresos por salarios + el tope máximo de previsión social cuando la previsión social con límite es &gt;= tope máximo</t>
  </si>
  <si>
    <t>(+) Tope máximo de exención</t>
  </si>
  <si>
    <t>(=) Resultado II</t>
  </si>
  <si>
    <t>④</t>
  </si>
  <si>
    <t>El resultado ④ no puede ser inferior a ①</t>
  </si>
  <si>
    <t>Previsión social sin límite exenta</t>
  </si>
  <si>
    <t>(+) Previsión social gravada</t>
  </si>
  <si>
    <t>(+) Previsión social exenta con límite</t>
  </si>
  <si>
    <t>(=) Total de previsión social</t>
  </si>
  <si>
    <t>Nómina semana 49</t>
  </si>
  <si>
    <t>Subsidio al empleo causado</t>
  </si>
  <si>
    <r>
      <rPr>
        <b/>
        <sz val="11"/>
        <color rgb="FFFFFFCC"/>
        <rFont val="Aptos Narrow"/>
        <family val="2"/>
        <scheme val="minor"/>
      </rPr>
      <t>Artículo 101 tercer párrafo LFT</t>
    </r>
    <r>
      <rPr>
        <sz val="11"/>
        <color rgb="FFFFFFCC"/>
        <rFont val="Aptos Narrow"/>
        <family val="2"/>
        <scheme val="minor"/>
      </rPr>
      <t xml:space="preserve">
En todos los casos, el trabajador deberá tener acceso a la información detallada de los conceptos y deducciones de pago. Los recibos de pago deberán entregarse al trabajador en forma impresa o por cualquier otro medio, sin perjuicio de que el patrón lo deba entregar en documento impreso cuando el trabajador así lo requiera.</t>
    </r>
  </si>
  <si>
    <r>
      <rPr>
        <b/>
        <sz val="11"/>
        <color rgb="FFFFFFCC"/>
        <rFont val="Aptos Narrow"/>
        <family val="2"/>
        <scheme val="minor"/>
      </rPr>
      <t>Apéndice 1 Notas generales guía de llenado del CFDI de nómina
Nota 11</t>
    </r>
    <r>
      <rPr>
        <sz val="11"/>
        <color rgb="FFFFFFCC"/>
        <rFont val="Aptos Narrow"/>
        <family val="2"/>
        <scheme val="minor"/>
      </rPr>
      <t xml:space="preserve">:…............................
En el caso de préstamos que no son anticipos de salarios sólo se reportarán, con carácter informativo, en la sección de OtrosPagos con la clave “999” (Pagos distintos a los listados), si el pago del préstamo otorgado se descuenta vía nómina, se deberá utilizar la clave de deducción “004” correspondiente a Otros, en el CFDI que se expida cuando se realice el descuento. </t>
    </r>
  </si>
  <si>
    <r>
      <rPr>
        <b/>
        <sz val="11"/>
        <color rgb="FFFFFFCC"/>
        <rFont val="Arial"/>
        <family val="2"/>
      </rPr>
      <t>Artículo 55 LSS</t>
    </r>
    <r>
      <rPr>
        <sz val="11"/>
        <color rgb="FFFFFFCC"/>
        <rFont val="Arial"/>
        <family val="2"/>
      </rPr>
      <t xml:space="preserve">. Los riesgos de trabajo pueden producir:
I. Incapacidad temporal;
II. Incapacidad permanente parcial;
III. Incapacidad permanente total, y
IV. Muerte.
Se entenderá por incapacidad temporal, incapacidad permanente parcial e incapacidad permanente total, lo que al respecto disponen los artículos relativos de la Ley Federal del Trabajo.
</t>
    </r>
    <r>
      <rPr>
        <b/>
        <sz val="11"/>
        <color rgb="FFFFFFCC"/>
        <rFont val="Arial"/>
        <family val="2"/>
      </rPr>
      <t>REGLAMENTO DE PRESTACIONES MÉDICAS DEL INSTITUTO MEXICANO DEL SEGURO SOCIAL 
Artículo 28</t>
    </r>
    <r>
      <rPr>
        <sz val="11"/>
        <color rgb="FFFFFFCC"/>
        <rFont val="Arial"/>
        <family val="2"/>
      </rPr>
      <t xml:space="preserve">. El asegurado que sufra un riesgo de trabajo tendrá derecho a las prestaciones en especie que se establecen en el artículo 56 de la Ley y a las prestaciones en dinero que señala el artículo 58 del mismo ordenamiento. 
</t>
    </r>
    <r>
      <rPr>
        <b/>
        <sz val="11"/>
        <color rgb="FFFFFFCC"/>
        <rFont val="Arial"/>
        <family val="2"/>
      </rPr>
      <t>Solicitud del pago de subsidios. Modalidad C) Celebración de convenio de pago indirecto y reembolso de subsidios Homoclave IMSS-01-036-C.</t>
    </r>
    <r>
      <rPr>
        <sz val="11"/>
        <color rgb="FFFFFFCC"/>
        <rFont val="Arial"/>
        <family val="2"/>
      </rPr>
      <t xml:space="preserve">
¿Eres un patrón ante el IMSS con 50 o más trabajadores? ¿Deseas tener mayor seguridad y facilidad en el pago de los subsidios a tus trabajadores? ¿Deseas tener mayor control sobre los riesgos de trabajo ocurridos a tus trabajadores? Podrás suscribir un convenio de pago indirecto y reembolso de subsidios ante el IMSS, en el cual pagas a tus trabajadores el importe de subsidios por incapacidad para trabajar por enfermedad general, maternidad o riesgos de trabajo y posteriormente recibirás el reembolso por parte del Instituto.
</t>
    </r>
    <r>
      <rPr>
        <b/>
        <sz val="11"/>
        <color rgb="FFFFFFCC"/>
        <rFont val="Arial"/>
        <family val="2"/>
      </rPr>
      <t>Fuente:</t>
    </r>
    <r>
      <rPr>
        <sz val="11"/>
        <color rgb="FFFFFFCC"/>
        <rFont val="Arial"/>
        <family val="2"/>
      </rPr>
      <t xml:space="preserve"> https://www.imss.gob.mx/tramites/imss01036c?utm_source=chatgpt.com</t>
    </r>
  </si>
  <si>
    <r>
      <rPr>
        <b/>
        <sz val="11"/>
        <color rgb="FFFFFFCC"/>
        <rFont val="Aptos Narrow"/>
        <family val="2"/>
        <scheme val="minor"/>
      </rPr>
      <t>Artículo 97 LFT</t>
    </r>
    <r>
      <rPr>
        <sz val="11"/>
        <color rgb="FFFFFFCC"/>
        <rFont val="Aptos Narrow"/>
        <family val="2"/>
        <scheme val="minor"/>
      </rPr>
      <t xml:space="preserve">.- Los salarios mínimos no podrán ser objeto de compensación, descuento o reducción, salvo en los casos siguientes:
II. 	Pago de rentas a que se refiere el artículo 151. Este descuento no podrá exceder del diez por ciento del salario.
</t>
    </r>
    <r>
      <rPr>
        <b/>
        <sz val="11"/>
        <color rgb="FFFFFFCC"/>
        <rFont val="Aptos Narrow"/>
        <family val="2"/>
        <scheme val="minor"/>
      </rPr>
      <t>Artículo 110 LFT</t>
    </r>
    <r>
      <rPr>
        <sz val="11"/>
        <color rgb="FFFFFFCC"/>
        <rFont val="Aptos Narrow"/>
        <family val="2"/>
        <scheme val="minor"/>
      </rPr>
      <t>.- Los descuentos en los salarios de los trabajadores, están prohibidos salvo en los casos y con los requisitos siguientes:
II. 	Pago de la renta a que se refiere el artículo 151 que no podrá exceder del quince por ciento del salario.</t>
    </r>
  </si>
  <si>
    <r>
      <t xml:space="preserve">Se debe registrar la clave con la que se identifica el tipo de nómina.
Las claves de los tipos de nóminas se encuentran incluidas en el catálogo  c_TipoNomina publicado en el Portal del SAT.
Ejemplo:
TipoNomina= O
</t>
    </r>
    <r>
      <rPr>
        <b/>
        <sz val="11"/>
        <color theme="0"/>
        <rFont val="Aptos Narrow"/>
        <family val="2"/>
        <scheme val="minor"/>
      </rPr>
      <t>El tipo de nómina puede ser:</t>
    </r>
    <r>
      <rPr>
        <sz val="11"/>
        <color theme="0"/>
        <rFont val="Aptos Narrow"/>
        <family val="2"/>
        <scheme val="minor"/>
      </rPr>
      <t xml:space="preserve">
Ordinaria o Extraordinaria, esta clasificación la realiza el patrón al emitir el comprobante, comúnmente se suele clasificar como ordinaria a la nómina que paga conceptos de manera periódica y, por ende, a la que le corresponde una periodicidad determinada, por ejemplo: Diaria, Semanal, Catorcenal, Quincenal, Mensual, Bimestral, Decenal o incluso por unidad de obra, comisión o precio alzado.
Como extraordinaria se clasifica a aquella nómina que incluye conceptos que no son objeto de pago de manera periódica o habitual, por ejemplo, pagos porseparación, aguinaldos o bonos.
</t>
    </r>
    <r>
      <rPr>
        <b/>
        <sz val="11"/>
        <color theme="0"/>
        <rFont val="Aptos Narrow"/>
        <family val="2"/>
        <scheme val="minor"/>
      </rPr>
      <t>Fuente</t>
    </r>
    <r>
      <rPr>
        <sz val="11"/>
        <color theme="0"/>
        <rFont val="Aptos Narrow"/>
        <family val="2"/>
        <scheme val="minor"/>
      </rPr>
      <t>: Guía de llenado del CFDI de nómina (página 20)</t>
    </r>
  </si>
  <si>
    <r>
      <t xml:space="preserve">Se debe registrar la fecha en que efectivamente el empleador realizó el pago (erogación) de la nómina al trabajador
</t>
    </r>
    <r>
      <rPr>
        <b/>
        <sz val="11"/>
        <color theme="0"/>
        <rFont val="Aptos Narrow"/>
        <family val="2"/>
        <scheme val="minor"/>
      </rPr>
      <t>Fuente:</t>
    </r>
    <r>
      <rPr>
        <sz val="11"/>
        <color theme="0"/>
        <rFont val="Aptos Narrow"/>
        <family val="2"/>
        <scheme val="minor"/>
      </rPr>
      <t xml:space="preserve"> Guía de llenado del CFDI nómina (página 20)
</t>
    </r>
    <r>
      <rPr>
        <b/>
        <sz val="11"/>
        <color theme="0"/>
        <rFont val="Aptos Narrow"/>
        <family val="2"/>
        <scheme val="minor"/>
      </rPr>
      <t>Artículo 109 LFT</t>
    </r>
    <r>
      <rPr>
        <sz val="11"/>
        <color theme="0"/>
        <rFont val="Aptos Narrow"/>
        <family val="2"/>
        <scheme val="minor"/>
      </rPr>
      <t xml:space="preserve">.- El pago deberá efectuarse en día laborable, fijado por convenio entre el trabajador y el patrón, durante las horas de trabajo o inmediatamente después de su terminación
</t>
    </r>
    <r>
      <rPr>
        <b/>
        <sz val="11"/>
        <color theme="0"/>
        <rFont val="Aptos Narrow"/>
        <family val="2"/>
        <scheme val="minor"/>
      </rPr>
      <t>Artículo 1000 LFT</t>
    </r>
    <r>
      <rPr>
        <sz val="11"/>
        <color theme="0"/>
        <rFont val="Aptos Narrow"/>
        <family val="2"/>
        <scheme val="minor"/>
      </rPr>
      <t xml:space="preserve">.- El incumplimiento de las normas relativas a la remuneración de los trabajos, duración de la jornada y descansos, contenidas en un contrato Ley, o en un contrato colectivo de trabajo, se sancionará con multa por el equivalente de 250 a 5000 veces la Unidad de Medida y Actualización.
</t>
    </r>
    <r>
      <rPr>
        <b/>
        <sz val="11"/>
        <color theme="0"/>
        <rFont val="Aptos Narrow"/>
        <family val="2"/>
        <scheme val="minor"/>
      </rPr>
      <t>Artículo 1002 LFT</t>
    </r>
    <r>
      <rPr>
        <sz val="11"/>
        <color theme="0"/>
        <rFont val="Aptos Narrow"/>
        <family val="2"/>
        <scheme val="minor"/>
      </rPr>
      <t>.- Por violaciones a las normas de trabajo no sancionadas en este Título o en alguna otra disposición de esta Ley, se impondrá al infractor multa por el equivalente de 50 a 5000 veces la Unidad de Medida y Actualización.</t>
    </r>
  </si>
  <si>
    <r>
      <t xml:space="preserve">Se debe registrar la fecha inicial del periodo de pago, debe de ser menor o igual a la FechaFinalPago.
Para el caso de nóminas extraordinarias, se puede señalar como FechaInicialPago y FechaFinalPago la misma, es decir, la del día en que se realice el pago al trabajador.
Se expresa en la forma AAAA-MM-DD de acuerdo con la especificación ISO 8601
</t>
    </r>
    <r>
      <rPr>
        <b/>
        <sz val="11"/>
        <color theme="0"/>
        <rFont val="Aptos Narrow"/>
        <family val="2"/>
        <scheme val="minor"/>
      </rPr>
      <t>Fuente</t>
    </r>
    <r>
      <rPr>
        <sz val="11"/>
        <color theme="0"/>
        <rFont val="Aptos Narrow"/>
        <family val="2"/>
        <scheme val="minor"/>
      </rPr>
      <t>: Guía de llenado del CFDI de nómina (página 21)</t>
    </r>
  </si>
  <si>
    <r>
      <t xml:space="preserve">Se debe registrar la fecha final del periodo de pago, debe ser mayor o igual a la FechaInicialPago.
Para el caso de nóminas extraordinarias como aquella en la que se paga la PTU, el aguinaldo, indemnización o pagos como resultado de la ejecución de un laudo, se puede señalar como FechaInicialPago y FechaFinalPago, la misma fecha, es decir del día en que se realice el pago al trabajador. 
Se expresa en la forma AAAA-MM-DD de acuerdo con la especificación ISO 8601.
</t>
    </r>
    <r>
      <rPr>
        <b/>
        <sz val="11"/>
        <color theme="0"/>
        <rFont val="Aptos Narrow"/>
        <family val="2"/>
        <scheme val="minor"/>
      </rPr>
      <t>Fuente:</t>
    </r>
    <r>
      <rPr>
        <sz val="11"/>
        <color theme="0"/>
        <rFont val="Aptos Narrow"/>
        <family val="2"/>
        <scheme val="minor"/>
      </rPr>
      <t xml:space="preserve"> Guía de llenado del CFDI de nómina (página 21)</t>
    </r>
  </si>
  <si>
    <r>
      <t xml:space="preserve">Se debe registrar el número de días y/o la fracción de días pagados al trabajador. 
El valor debe ser mayor que cero, se pueden registrar hasta 36,160 días y no se incluyen los ceros a la izquierda.
Para el número de días pagados también se deben registrar en los casos en que se realicen pagos por ejemplo por PTU, indemnización o pagos como resultado de la ejecución de un laudo.
</t>
    </r>
    <r>
      <rPr>
        <b/>
        <sz val="11"/>
        <color theme="0"/>
        <rFont val="Aptos Narrow"/>
        <family val="2"/>
        <scheme val="minor"/>
      </rPr>
      <t>Fuente:</t>
    </r>
    <r>
      <rPr>
        <sz val="11"/>
        <color theme="0"/>
        <rFont val="Aptos Narrow"/>
        <family val="2"/>
        <scheme val="minor"/>
      </rPr>
      <t xml:space="preserve"> Guía de llenado del CFDI de nómina (página 22)</t>
    </r>
  </si>
  <si>
    <r>
      <t xml:space="preserve">Se puede registrar la fecha de inicio de la relación laboral entre el empleador y el empleado. Se deben señalar los datos de la relación laboral y patrón vigente, es decir, contrato vigente. 
Se debe registrar cuando se esté obligado conforme a las disposiciones aplicables. 
Se expresa en la forma AAAA-MM-DD de acuerdo con la especificación ISO 8601. 
</t>
    </r>
    <r>
      <rPr>
        <b/>
        <sz val="11"/>
        <color theme="0"/>
        <rFont val="Aptos Narrow"/>
        <family val="2"/>
        <scheme val="minor"/>
      </rPr>
      <t xml:space="preserve">Ejemplo: </t>
    </r>
    <r>
      <rPr>
        <sz val="11"/>
        <color theme="0"/>
        <rFont val="Aptos Narrow"/>
        <family val="2"/>
        <scheme val="minor"/>
      </rPr>
      <t xml:space="preserve"> 
FechaInicioRelLaboral= 2022-01-01 
Por excepción, este dato no aplica cuando el empleador realice el pago a contribuyentes asimilados a salarios, no se sitúe en los supuestos contemplados en los artículos 12 y 13 de la Ley del Seguro Social, o bien no tenga la obligación 
de registrar este dato en términos de las disposiciones aplicables. 
El valor de este dato deberá ser menor o igual que el campo FechaFinalPago. 
 </t>
    </r>
    <r>
      <rPr>
        <b/>
        <sz val="11"/>
        <color theme="0"/>
        <rFont val="Aptos Narrow"/>
        <family val="2"/>
        <scheme val="minor"/>
      </rPr>
      <t>Fuente</t>
    </r>
    <r>
      <rPr>
        <sz val="11"/>
        <color theme="0"/>
        <rFont val="Aptos Narrow"/>
        <family val="2"/>
        <scheme val="minor"/>
      </rPr>
      <t>: Guía de llenado del CFDI de nómina (página 22)</t>
    </r>
  </si>
  <si>
    <r>
      <t xml:space="preserve">Se debe registrar el valor “Sí”, únicamente cuando el trabajador este asociado a un sindicato dentro de la organización en la cual presta sus servicios. 
Se debe registrar el valor “No”, cuando el empleador realice el pago a contribuyentes asimilados a salarios, o a asalariados no sindicalizados.  
Ejemplo: 
Sindicalizado= Sí 
Fundamento Legal: Artículo 154 de la Ley Federal del Trabajo.
</t>
    </r>
    <r>
      <rPr>
        <b/>
        <sz val="11"/>
        <color theme="0"/>
        <rFont val="Aptos Narrow"/>
        <family val="2"/>
        <scheme val="minor"/>
      </rPr>
      <t>Fuente</t>
    </r>
    <r>
      <rPr>
        <sz val="11"/>
        <color theme="0"/>
        <rFont val="Aptos Narrow"/>
        <family val="2"/>
        <scheme val="minor"/>
      </rPr>
      <t xml:space="preserve">: Guía de llenado del CFDI de nómina (página 33)
</t>
    </r>
    <r>
      <rPr>
        <b/>
        <sz val="11"/>
        <color theme="0"/>
        <rFont val="Aptos Narrow"/>
        <family val="2"/>
        <scheme val="minor"/>
      </rPr>
      <t>Trabajador sindicalizado</t>
    </r>
    <r>
      <rPr>
        <sz val="11"/>
        <color theme="0"/>
        <rFont val="Aptos Narrow"/>
        <family val="2"/>
        <scheme val="minor"/>
      </rPr>
      <t xml:space="preserve">
Se entiende por sindicalizado a todo trabajador que se encuentre agremiado a cualquier organización sindical legalmente constituida.
</t>
    </r>
    <r>
      <rPr>
        <b/>
        <sz val="11"/>
        <color theme="0"/>
        <rFont val="Aptos Narrow"/>
        <family val="2"/>
        <scheme val="minor"/>
      </rPr>
      <t>Fundamento</t>
    </r>
    <r>
      <rPr>
        <sz val="11"/>
        <color theme="0"/>
        <rFont val="Aptos Narrow"/>
        <family val="2"/>
        <scheme val="minor"/>
      </rPr>
      <t>: Artículo 154 tercer párrafo LFT</t>
    </r>
  </si>
  <si>
    <r>
      <t xml:space="preserve">Se puede registrar la clave correspondiente al tipo de jornada que cubre el trabajador durante el desempeño de las actividades encomendadas por su 
empleador. Se debe registrar cuando se esté obligado conforme a las disposiciones aplicables.  
Las distintas claves de tipos de jornada se encuentran incluidas en el catálogo c_TipoJornada publicado en el Portal del SAT.
Por excepción, este dato no aplica cuando el empleador realice el pago a contribuyentes asimilados a salarios, no se sitúe en los supuestos contemplados 
en los artículos 12 y 13 de la Ley del Seguro Social, o bien no tenga la obligación de registrar este dato en términos de las disposiciones aplicables. 
Fundamento Legal: Artículos 60 y 61 de la Ley Federal del Trabajo y 123, Apartado B), Fracción I de Ia Constitución Política de los Estados Unidos Mexicanos. 
</t>
    </r>
    <r>
      <rPr>
        <b/>
        <sz val="11"/>
        <color theme="0"/>
        <rFont val="Aptos Narrow"/>
        <family val="2"/>
        <scheme val="minor"/>
      </rPr>
      <t>Fuente</t>
    </r>
    <r>
      <rPr>
        <sz val="11"/>
        <color theme="0"/>
        <rFont val="Aptos Narrow"/>
        <family val="2"/>
        <scheme val="minor"/>
      </rPr>
      <t>: Guía de llenado del CFDI de nómina (página 33)</t>
    </r>
  </si>
  <si>
    <t>Instrucciones para el manejo del libro de Excel</t>
  </si>
  <si>
    <t>Capture la contraseña para trabajar con el libro</t>
  </si>
  <si>
    <t>El importe de esta clave disminuye el importe de la clave 002 (ISR) de deducciones</t>
  </si>
  <si>
    <t>Se utiliza para compensar el saldo a favor del trabajador derivado del ajuste</t>
  </si>
  <si>
    <r>
      <t xml:space="preserve">Al utilizar esta clave se debe de capturar la información del Nodo: Compensación saldos a favor.
</t>
    </r>
    <r>
      <rPr>
        <sz val="12"/>
        <color theme="1"/>
        <rFont val="Calibri"/>
        <family val="2"/>
      </rPr>
      <t xml:space="preserve">  ●</t>
    </r>
    <r>
      <rPr>
        <sz val="12"/>
        <color theme="1"/>
        <rFont val="Aptos Narrow"/>
        <family val="2"/>
      </rPr>
      <t xml:space="preserve"> </t>
    </r>
    <r>
      <rPr>
        <sz val="12"/>
        <color theme="1"/>
        <rFont val="Aptos Narrow"/>
        <family val="2"/>
        <scheme val="minor"/>
      </rPr>
      <t xml:space="preserve">Saldo a favor
</t>
    </r>
    <r>
      <rPr>
        <sz val="12"/>
        <color theme="1"/>
        <rFont val="Calibri"/>
        <family val="2"/>
      </rPr>
      <t xml:space="preserve">  ●</t>
    </r>
    <r>
      <rPr>
        <sz val="12"/>
        <color theme="1"/>
        <rFont val="Aptos Narrow"/>
        <family val="2"/>
      </rPr>
      <t xml:space="preserve"> </t>
    </r>
    <r>
      <rPr>
        <sz val="12"/>
        <color theme="1"/>
        <rFont val="Aptos Narrow"/>
        <family val="2"/>
        <scheme val="minor"/>
      </rPr>
      <t xml:space="preserve">Año
</t>
    </r>
    <r>
      <rPr>
        <sz val="12"/>
        <color theme="1"/>
        <rFont val="Calibri"/>
        <family val="2"/>
      </rPr>
      <t xml:space="preserve">  ●</t>
    </r>
    <r>
      <rPr>
        <sz val="12"/>
        <color theme="1"/>
        <rFont val="Aptos Narrow"/>
        <family val="2"/>
      </rPr>
      <t xml:space="preserve"> </t>
    </r>
    <r>
      <rPr>
        <sz val="12"/>
        <color theme="1"/>
        <rFont val="Aptos Narrow"/>
        <family val="2"/>
        <scheme val="minor"/>
      </rPr>
      <t>Remanente saldo a favor</t>
    </r>
  </si>
  <si>
    <t>Esta clave disminuye a la 101 (ISR ejercicio anterior) del catálogo de deducciones</t>
  </si>
  <si>
    <r>
      <rPr>
        <b/>
        <sz val="11"/>
        <color theme="1"/>
        <rFont val="Aptos Narrow"/>
        <family val="2"/>
        <scheme val="minor"/>
      </rPr>
      <t>Nota:</t>
    </r>
    <r>
      <rPr>
        <sz val="11"/>
        <color theme="1"/>
        <rFont val="Aptos Narrow"/>
        <family val="2"/>
        <scheme val="minor"/>
      </rPr>
      <t xml:space="preserve"> Las fórmulas esta visibles no las borre, si no captura la contraseña en la hoja de PORTADA no podrá visualizar toda la información y los cálculo puede ser erróneos.</t>
    </r>
  </si>
  <si>
    <r>
      <rPr>
        <b/>
        <sz val="11"/>
        <color theme="1"/>
        <rFont val="Aptos Narrow"/>
        <family val="2"/>
        <scheme val="minor"/>
      </rPr>
      <t>1.</t>
    </r>
    <r>
      <rPr>
        <sz val="11"/>
        <color theme="1"/>
        <rFont val="Aptos Narrow"/>
        <family val="2"/>
        <scheme val="minor"/>
      </rPr>
      <t xml:space="preserve"> Capture la contraseña en la hoja de portada en la celda con relleno de color verde</t>
    </r>
  </si>
  <si>
    <r>
      <rPr>
        <b/>
        <sz val="11"/>
        <color theme="1"/>
        <rFont val="Aptos Narrow"/>
        <family val="2"/>
        <scheme val="minor"/>
      </rPr>
      <t>2.</t>
    </r>
    <r>
      <rPr>
        <sz val="11"/>
        <color theme="1"/>
        <rFont val="Aptos Narrow"/>
        <family val="2"/>
        <scheme val="minor"/>
      </rPr>
      <t xml:space="preserve"> En la hoja de APEND6 cuando vea un icono de "+" del lado izquierdo de las celdas, de clic para ver más información</t>
    </r>
  </si>
  <si>
    <r>
      <rPr>
        <b/>
        <sz val="11"/>
        <color theme="1"/>
        <rFont val="Aptos Narrow"/>
        <family val="2"/>
        <scheme val="minor"/>
      </rPr>
      <t>3</t>
    </r>
    <r>
      <rPr>
        <sz val="11"/>
        <color theme="1"/>
        <rFont val="Aptos Narrow"/>
        <family val="2"/>
        <scheme val="minor"/>
      </rPr>
      <t>.- En la hoja de percepción, las celdas con relleno de color verde son para capturar información y realizar cálculos</t>
    </r>
  </si>
  <si>
    <r>
      <rPr>
        <b/>
        <sz val="11"/>
        <color theme="1"/>
        <rFont val="Aptos Narrow"/>
        <family val="2"/>
        <scheme val="minor"/>
      </rPr>
      <t>4</t>
    </r>
    <r>
      <rPr>
        <sz val="11"/>
        <color theme="1"/>
        <rFont val="Aptos Narrow"/>
        <family val="2"/>
        <scheme val="minor"/>
      </rPr>
      <t>.- En la hoja de DEDUCCION cuando encuentre celdas con relleno de color verde, debe de capturar información para que se realicen los ejemplos numéricos</t>
    </r>
  </si>
  <si>
    <r>
      <rPr>
        <b/>
        <sz val="11"/>
        <color theme="1"/>
        <rFont val="Aptos Narrow"/>
        <family val="2"/>
        <scheme val="minor"/>
      </rPr>
      <t>5.</t>
    </r>
    <r>
      <rPr>
        <sz val="11"/>
        <color theme="1"/>
        <rFont val="Aptos Narrow"/>
        <family val="2"/>
        <scheme val="minor"/>
      </rPr>
      <t xml:space="preserve"> En la hoja de factor se debe de calcular información en las celdas con relleno de color verde, si ya tiene información la puede borrar</t>
    </r>
  </si>
  <si>
    <r>
      <rPr>
        <b/>
        <sz val="11"/>
        <color theme="1"/>
        <rFont val="Aptos Narrow"/>
        <family val="2"/>
        <scheme val="minor"/>
      </rPr>
      <t>6.</t>
    </r>
    <r>
      <rPr>
        <sz val="11"/>
        <color theme="1"/>
        <rFont val="Aptos Narrow"/>
        <family val="2"/>
        <scheme val="minor"/>
      </rPr>
      <t>- En la hoja de PREVISION, puede borrar la información en las celdas con relleno de color verde y capturar la suya.</t>
    </r>
  </si>
  <si>
    <r>
      <rPr>
        <b/>
        <sz val="11"/>
        <color theme="1"/>
        <rFont val="Aptos Narrow"/>
        <family val="2"/>
        <scheme val="minor"/>
      </rPr>
      <t>7.</t>
    </r>
    <r>
      <rPr>
        <sz val="11"/>
        <color theme="1"/>
        <rFont val="Aptos Narrow"/>
        <family val="2"/>
        <scheme val="minor"/>
      </rPr>
      <t>- En todas las demás hojas que vea celdas con relleno de color verde puede borrar la información que contine y capturar la suya.</t>
    </r>
  </si>
  <si>
    <t>Instrucciones para el manejo del libro</t>
  </si>
  <si>
    <t>INSTRUCCIONES</t>
  </si>
  <si>
    <t>Catálogo del apéndice seis de la guía de llenado del SAT</t>
  </si>
  <si>
    <t>APEND6</t>
  </si>
  <si>
    <t>Catálogo de percepciones del SAT</t>
  </si>
  <si>
    <t>Continua el catálogo de percepciones del SAT</t>
  </si>
  <si>
    <t>PERCEPCIONESO</t>
  </si>
  <si>
    <t>Catálogo del otros pagos</t>
  </si>
  <si>
    <t>OPAGOS</t>
  </si>
  <si>
    <t>Catálogo de deducciones</t>
  </si>
  <si>
    <t>Determinación del factor de no deducibles de los exentos</t>
  </si>
  <si>
    <t>FACTOR</t>
  </si>
  <si>
    <r>
      <t xml:space="preserve">No se considerarán ingresos en bienes, los servicios de comedor y de comida proporcionados a los trabajadores ni el uso de bienes que el patrón proporcione a los trabajadores para el desempeño de las actividades propias de éstos siempre que, en este último caso, los mismos estén de acuerdo con la naturaleza del trabajo prestado.
</t>
    </r>
    <r>
      <rPr>
        <b/>
        <sz val="12"/>
        <color rgb="FFFFFFCC"/>
        <rFont val="Aptos Narrow"/>
        <family val="2"/>
        <scheme val="minor"/>
      </rPr>
      <t>Fundamento</t>
    </r>
    <r>
      <rPr>
        <sz val="12"/>
        <color rgb="FFFFFFCC"/>
        <rFont val="Aptos Narrow"/>
        <family val="2"/>
        <scheme val="minor"/>
      </rPr>
      <t>: Artículo 94 penúltimo párrafo LISR</t>
    </r>
  </si>
  <si>
    <r>
      <rPr>
        <b/>
        <sz val="12"/>
        <color rgb="FFFFFFCC"/>
        <rFont val="Aptos Narrow"/>
        <family val="2"/>
        <scheme val="minor"/>
      </rPr>
      <t>Artículo 28 LISR</t>
    </r>
    <r>
      <rPr>
        <sz val="12"/>
        <color rgb="FFFFFFCC"/>
        <rFont val="Aptos Narrow"/>
        <family val="2"/>
        <scheme val="minor"/>
      </rPr>
      <t>. Para los efectos de este Título, no serán deducibles:
XXI.	Los gastos en comedores que por su naturaleza no estén a disposición de todos los trabajadores de la empresa y aun cuando lo estén, éstos excedan de un monto equivalente a un salario mínimo general diario del área geográfica del contribuyente por cada trabajador que haga uso de los mismos y por cada día en que se preste el servicio, adicionado con las cuotas de recuperación que pague el trabajador por este concepto.</t>
    </r>
  </si>
  <si>
    <t>Modalidad</t>
  </si>
  <si>
    <t>% / Factor / Cuota</t>
  </si>
  <si>
    <t>UMI/SM</t>
  </si>
  <si>
    <t>Días cotizados</t>
  </si>
  <si>
    <t>Cálculo Diario</t>
  </si>
  <si>
    <t>Subtotal</t>
  </si>
  <si>
    <t>Seguro</t>
  </si>
  <si>
    <t>Resultado</t>
  </si>
  <si>
    <t>Porcentaje</t>
  </si>
  <si>
    <t>VSM</t>
  </si>
  <si>
    <t>Salario del trabajador (en veces el Salario Mínimo)</t>
  </si>
  <si>
    <t>20% (Aviso)</t>
  </si>
  <si>
    <t>25% (Aviso)</t>
  </si>
  <si>
    <t>30% (Aviso)</t>
  </si>
  <si>
    <t>% del aviso de retención</t>
  </si>
  <si>
    <t>De</t>
  </si>
  <si>
    <t>Salario en veces del sm</t>
  </si>
  <si>
    <t>Salario base de cotización / Base</t>
  </si>
  <si>
    <t>Descuentos del INFONAVIT</t>
  </si>
  <si>
    <t>INFONAVIT</t>
  </si>
  <si>
    <r>
      <rPr>
        <b/>
        <sz val="11"/>
        <color theme="5" tint="0.79998168889431442"/>
        <rFont val="Aptos Narrow"/>
        <family val="2"/>
        <scheme val="minor"/>
      </rPr>
      <t>Artículo 117 LFT</t>
    </r>
    <r>
      <rPr>
        <sz val="11"/>
        <color theme="5" tint="0.79998168889431442"/>
        <rFont val="Aptos Narrow"/>
        <family val="2"/>
        <scheme val="minor"/>
      </rPr>
      <t>.- Los trabajadores participarán en las utilidades de las empresas, de conformidad con el porcentaje que determine la Comisión Nacional para la Participación de los Trabajadores en las Utilidades de las Empresas.</t>
    </r>
  </si>
  <si>
    <r>
      <rPr>
        <b/>
        <sz val="11"/>
        <color rgb="FFFFFFCC"/>
        <rFont val="Aptos Narrow"/>
        <family val="2"/>
        <scheme val="minor"/>
      </rPr>
      <t>Artículo 93 LISR</t>
    </r>
    <r>
      <rPr>
        <sz val="11"/>
        <color rgb="FFFFFFCC"/>
        <rFont val="Aptos Narrow"/>
        <family val="2"/>
        <scheme val="minor"/>
      </rPr>
      <t>. No se pagará el impuesto sobre la renta por la obtención de los siguientes ingresos:
XIV. Las gratificaciones que reciban los trabajadores de sus patrones, durante un año de calendario, hasta el equivalente del salario mínimo general del área geográfica del trabajador elevado a 30 días, cuando dichas gratificaciones se otorguen en forma general; así como las primas vacacionales que otorguen los patrones durante el año de calendario a sus trabajadores en forma general y la participación de los trabajadores en las utilidades de las empresas, hasta por el equivalente a 15 días de salario mínimo general del área geográfica del trabajador, por cada uno de los conceptos señalados. Tratándose de primas dominicales hasta por el equivalente de un salario mínimo general del área geográfica del trabajador por cada domingo que se labore.</t>
    </r>
  </si>
  <si>
    <r>
      <rPr>
        <b/>
        <sz val="11"/>
        <color rgb="FF99FF66"/>
        <rFont val="Aptos Narrow"/>
        <family val="2"/>
        <scheme val="minor"/>
      </rPr>
      <t>Artículo 93 LISR.</t>
    </r>
    <r>
      <rPr>
        <sz val="11"/>
        <color rgb="FF99FF66"/>
        <rFont val="Aptos Narrow"/>
        <family val="2"/>
        <scheme val="minor"/>
      </rPr>
      <t xml:space="preserve"> No se pagará el impuesto sobre la renta por la obtención de los siguientes ingresos:
I. Las prestaciones distintas del salario que reciban los trabajadores del salario mínimo general para una o varias áreas geográficas, calculadas sobre la base de dicho salario, cuando no excedan de los mínimos señalados por la legislación laboral, así como las remuneraciones por concepto de tiempo extraordinario o de prestación de servicios que se realice en los días de descanso sin disfrutar de otros en sustitución, hasta el límite establecido en la legislación laboral, que perciban dichos trabajadores. Tratándose de los demás trabajadores, el 50% de las remuneraciones por concepto de tiempo extraordinario o de la prestación de servicios que se realice en los días de descanso sin disfrutar de otros en sustitución, que no exceda el límite previsto en la legislación laboral y sin que esta exención exceda del equivalente de cinco veces el salario mínimo general del área geográfica del trabajador por cada semana de servicios.
XIV. Las gratificaciones que reciban los trabajadores de sus patrones, durante un año de calendario, hasta el equivalente del salario mínimo general del área geográfica del trabajador elevado a 30 días, cuando dichas gratificaciones se otorguen en forma general; así como las primas vacacionales que otorguen los patrones durante el año de calendario a sus trabajadores en forma general y la participación de los trabajadores en las utilidades de las empresas, hasta por el equivalente a 15 días de salario mínimo general del área geográfica del trabajador, por cada uno de los conceptos señalados. Tratándose de primas dominicales hasta por el equivalente de un salario mínimo general del área geográfica del trabajador por cada domingo que se labore.</t>
    </r>
  </si>
  <si>
    <r>
      <rPr>
        <b/>
        <sz val="11"/>
        <color theme="5" tint="0.79998168889431442"/>
        <rFont val="Aptos Narrow"/>
        <family val="2"/>
        <scheme val="minor"/>
      </rPr>
      <t>Artículo 94 LISR</t>
    </r>
    <r>
      <rPr>
        <sz val="11"/>
        <color theme="5" tint="0.79998168889431442"/>
        <rFont val="Aptos Narrow"/>
        <family val="2"/>
        <scheme val="minor"/>
      </rPr>
      <t>. Se consideran ingresos por la prestación de un servicio personal subordinado, los salarios y demás prestaciones que deriven de una relación laboral, incluyendo la participación de los trabajadores en las utilidades de las empresas y las prestaciones percibidas como consecuencia de la terminación de la relación laboral. Para los efectos de este impuesto, se asimilan a estos ingresos los siguientes:
I. Las remuneraciones y demás prestaciones, obtenidas por los funcionarios y trabajadores de la Federación, de las entidades federativas y de los municipios, aun cuando sean por concepto de gastos no sujetos a comprobación, así como los obtenidos por los miembros de las fuerzas armadas.
II. Los rendimientos y anticipos, que obtengan los miembros de las sociedades cooperativas de producción, así como los anticipos que reciban los miembros de sociedades y asociaciones civiles.
III. Los honorarios a miembros de consejos directivos, de vigilancia, consultivos o de cualquier otra índole, así como los honorarios a administradores, comisarios y gerentes generales.
IV. Los honorarios a personas que presten servicios preponderantemente a un prestatario, siempre que los mismos se lleven a cabo en las instalaciones de este último.
Para los efectos del párrafo anterior, se entiende que una persona presta servicios preponderantemente a un prestatario, cuando los ingresos que hubiera percibido de dicho
prestatario en el año de calendario inmediato anterior, representen más del 50% del total de los ingresos obtenidos por los conceptos a que se refiere la fracción II del artículo 100 de esta Ley.
............................
V. Los honorarios que perciban las personas físicas de personas morales o de personas físicas con actividades empresariales a las que presten servicios personales independientes, cuando comuniquen por escrito al prestatario que optan por pagar el impuesto en los términos de este Capítulo.
VI. Los ingresos que perciban las personas físicas de personas morales o de personas físicas con actividades empresariales, por las actividades empresariales que realicen, cuando comuniquen por escrito a la persona que efectúe el pago que optan por pagar el impuesto en los términos de este Capítulo.
VII. Los ingresos obtenidos por las personas físicas por ejercer la opción otorgada por el empleador, o una parte relacionada del mismo, para adquirir, incluso mediante suscripción, acciones o títulos valor que representen bienes, sin costo alguno o a un precio menor o igual al de mercado que tengan dichas acciones o títulos valor al momento del ejercicio de la opción, independientemente de que las acciones o títulos valor sean emitidos por el empleador o la parte relacionada del mismo.
El ingreso acumulable será la diferencia que exista entre el valor de mercado que tengan las acciones o títulos valor sujetos a la opción, al momento en el que el contribuyente ejerza la misma y el precio establecido al otorgarse la opción.</t>
    </r>
  </si>
  <si>
    <r>
      <rPr>
        <b/>
        <sz val="11"/>
        <color theme="0" tint="-4.9989318521683403E-2"/>
        <rFont val="Aptos Narrow"/>
        <family val="2"/>
        <scheme val="minor"/>
      </rPr>
      <t xml:space="preserve">Artículo 93 LISR. </t>
    </r>
    <r>
      <rPr>
        <sz val="11"/>
        <color theme="0" tint="-4.9989318521683403E-2"/>
        <rFont val="Aptos Narrow"/>
        <family val="2"/>
        <scheme val="minor"/>
      </rPr>
      <t>No se pagará el impuesto sobre la renta por la obtención de los siguientes ingresos:
IV. Las jubilaciones, pensiones, haberes de retiro, así como las pensiones vitalicias u otras formas de retiro, provenientes de la subcuenta del seguro de retiro o de la subcuenta de retiro, cesantía en edad avanzada y vejez, previstas en la Ley del Seguro Social y las provenientes de la cuenta individual del sistema de ahorro para el retiro prevista en la Ley del Instituto de Seguridad y Servicios Sociales de los Trabajadores del Estado, en los casos de invalidez, incapacidad, cesantía, vejez, retiro y muerte, cuyo monto diario no exceda de quince veces el salario mínimo general del área geográfica del contribuyente, y el beneficio previsto en la Ley de Pensión Universal. Por el excedente se pagará el impuesto en los términos de este Título.</t>
    </r>
    <r>
      <rPr>
        <b/>
        <sz val="11"/>
        <color theme="0" tint="-4.9989318521683403E-2"/>
        <rFont val="Aptos Narrow"/>
        <family val="2"/>
        <scheme val="minor"/>
      </rPr>
      <t xml:space="preserve">
Artículo 171 RLISR.</t>
    </r>
    <r>
      <rPr>
        <sz val="11"/>
        <color theme="0" tint="-4.9989318521683403E-2"/>
        <rFont val="Aptos Narrow"/>
        <family val="2"/>
        <scheme val="minor"/>
      </rPr>
      <t xml:space="preserve"> Cuando el trabajador convenga con el empleador en que el pago de la jubilación, pensión o haber de retiro, se cubra mediante pago único, no se pagará el Impuesto por éste, cuando el monto de dicho pago no exceda de noventa veces el salario mínimo general del área geográfica del trabajador elevados al año, a que se refiere el artículo 93, fracción XIII de la Ley. Por el excedente se pagará el Impuesto en términos del artículo 95 de la Ley.</t>
    </r>
  </si>
  <si>
    <r>
      <rPr>
        <b/>
        <sz val="11"/>
        <color theme="0" tint="-4.9989318521683403E-2"/>
        <rFont val="Aptos Narrow"/>
        <family val="2"/>
        <scheme val="minor"/>
      </rPr>
      <t xml:space="preserve">Artículo 93 LISR. </t>
    </r>
    <r>
      <rPr>
        <sz val="11"/>
        <color theme="0" tint="-4.9989318521683403E-2"/>
        <rFont val="Aptos Narrow"/>
        <family val="2"/>
        <scheme val="minor"/>
      </rPr>
      <t>No se pagará el impuesto sobre la renta por la obtención de los siguientes ingresos:
IV. Las jubilaciones, pensiones, haberes de retiro, así como las pensiones vitalicias u otras formas de retiro, provenientes de la subcuenta del seguro de retiro o de la subcuenta de retiro, cesantía en edad avanzada y vejez, previstas en la Ley del Seguro Social y las provenientes de la cuenta individual del sistema de ahorro para el retiro prevista en la Ley del Instituto de Seguridad y Servicios Sociales de los Trabajadores del Estado, en los casos de invalidez, incapacidad, cesantía, vejez, retiro y muerte, cuyo monto diario no exceda de quince veces el salario mínimo general del área geográfica del contribuyente, y el beneficio previsto en la Ley de Pensión Universal. Por el excedente se pagará el impuesto en los términos de este Título.</t>
    </r>
    <r>
      <rPr>
        <b/>
        <sz val="11"/>
        <color theme="0" tint="-4.9989318521683403E-2"/>
        <rFont val="Aptos Narrow"/>
        <family val="2"/>
        <scheme val="minor"/>
      </rPr>
      <t xml:space="preserve">
</t>
    </r>
    <r>
      <rPr>
        <sz val="11"/>
        <color theme="0" tint="-4.9989318521683403E-2"/>
        <rFont val="Aptos Narrow"/>
        <family val="2"/>
        <scheme val="minor"/>
      </rPr>
      <t>XIII. Los que obtengan las personas que han estado sujetas a una relación laboral en el momento de su separación, por concepto de primas de antigüedad, retiro e indemnizaciones u otros pagos, así como los obtenidos con cargo a la subcuenta del seguro de retiro o a la subcuenta de retiro, cesantía en edad avanzada y vejez, previstas en la Ley del Seguro Social y los que obtengan los trabajadores al servicio del Estado con cargo a la cuenta individual del sistema de ahorro para el retiro, prevista en la Ley del Instituto de Seguridad y Servicios Sociales de los Trabajadores del Estado, y los que obtengan por concepto del beneficio previsto en la Ley de Pensión Universal, hasta por el equivalente a noventa veces el salario mínimo general del área geográfica del contribuyente por cada año de servicio o de contribución en el caso de la subcuenta del seguro de retiro, de la subcuenta de retiro, cesantía en edad avanzada y vejez o de la cuenta individual del sistema de ahorro para el retiro. Los años de servicio serán los que se hubieran considerado para el cálculo de los conceptos mencionados. Toda fracción de</t>
    </r>
  </si>
  <si>
    <t>I. Tarifa aplicable en función de la cantidad de trabajo realizado y no de días laborados, correspondiente a 2026, calculada en días a que se refieren los artículos 96 de la Ley del ISR y 175 de su Reglamento, así como la regla 3.12.2.</t>
  </si>
  <si>
    <r>
      <t xml:space="preserve">Artículo 66 LFT.- </t>
    </r>
    <r>
      <rPr>
        <sz val="11"/>
        <color theme="1"/>
        <rFont val="Aptos Narrow"/>
        <family val="2"/>
        <scheme val="minor"/>
      </rPr>
      <t xml:space="preserve">La jornada de trabajo podrá prolongarse por circunstancias extraordinarias. 
En estos casos, se abonará como salario por este tiempo un cien por ciento más de lo fijado para las horas ordinarias. El trabajo extraordinario no excederá de doce horas en una semana, las cuales podrán distribuirse en hasta cuatro horas diarias, en un máximo de cuatro días en ese periodo. 
Artículo reformado DOF 01-05-2026 
</t>
    </r>
    <r>
      <rPr>
        <b/>
        <sz val="11"/>
        <color theme="1"/>
        <rFont val="Aptos Narrow"/>
        <family val="2"/>
        <scheme val="minor"/>
      </rPr>
      <t>Artículo 67 LFT</t>
    </r>
    <r>
      <rPr>
        <sz val="11"/>
        <color theme="1"/>
        <rFont val="Aptos Narrow"/>
        <family val="2"/>
        <scheme val="minor"/>
      </rPr>
      <t xml:space="preserve">.- Las horas de trabajo a que se refiere el artículo 65, se retribuirán con una cantidad igual a la que corresponda a cada una de las horas de la jornada. 
Reforma DOF 01-05-2026: Derogó del artículo el entonces párrafo segundo 
</t>
    </r>
    <r>
      <rPr>
        <b/>
        <sz val="11"/>
        <color theme="1"/>
        <rFont val="Aptos Narrow"/>
        <family val="2"/>
        <scheme val="minor"/>
      </rPr>
      <t>Artículo 68 LFT</t>
    </r>
    <r>
      <rPr>
        <sz val="11"/>
        <color theme="1"/>
        <rFont val="Aptos Narrow"/>
        <family val="2"/>
        <scheme val="minor"/>
      </rPr>
      <t xml:space="preserve">.- Las personas trabajadoras no están obligadas a prestar sus servicios por un tiempo mayor del permitido en este capítulo. 
La prolongación del tiempo extraordinario que supere lo establecido en el artículo 66 de esta Ley, no podrá ser mayor de cuatro horas a la semana y obliga a la persona empleadora a pagar un doscientos por ciento más del salario que corresponda a las horas de la jornada ordinaria.
La suma de las jornadas ordinaria y extraordinaria, en ningún caso podrá ser mayor a doce horas diarias.
</t>
    </r>
  </si>
  <si>
    <t>CAFICON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</si>
</sst>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Red]\-&quot;$&quot;#,##0.00"/>
    <numFmt numFmtId="164" formatCode="000"/>
    <numFmt numFmtId="165" formatCode="&quot;&quot;"/>
    <numFmt numFmtId="166" formatCode="00"/>
    <numFmt numFmtId="167" formatCode="&quot;$&quot;#,##0.00"/>
    <numFmt numFmtId="168" formatCode="\$#,##0.00"/>
    <numFmt numFmtId="169" formatCode="0.000%"/>
    <numFmt numFmtId="170" formatCode="&quot;$&quot;#,##0.00_-"/>
    <numFmt numFmtId="171" formatCode="0.0000"/>
  </numFmts>
  <fonts count="74"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1"/>
      <name val="Arial"/>
      <family val="2"/>
    </font>
    <font>
      <sz val="11"/>
      <color indexed="8"/>
      <name val="Arial"/>
      <family val="2"/>
    </font>
    <font>
      <sz val="11"/>
      <name val="Arial"/>
      <family val="2"/>
    </font>
    <font>
      <b/>
      <sz val="11"/>
      <color rgb="FFFFFF00"/>
      <name val="Aptos Narrow"/>
      <family val="2"/>
      <scheme val="minor"/>
    </font>
    <font>
      <sz val="11"/>
      <color rgb="FFFFFFCC"/>
      <name val="Aptos Narrow"/>
      <family val="2"/>
      <scheme val="minor"/>
    </font>
    <font>
      <b/>
      <sz val="11"/>
      <color rgb="FFFFFFCC"/>
      <name val="Aptos Narrow"/>
      <family val="2"/>
      <scheme val="minor"/>
    </font>
    <font>
      <b/>
      <sz val="9"/>
      <color indexed="81"/>
      <name val="Tahoma"/>
      <family val="2"/>
    </font>
    <font>
      <b/>
      <sz val="11"/>
      <color rgb="FFC00000"/>
      <name val="Aptos Narrow"/>
      <family val="2"/>
      <scheme val="minor"/>
    </font>
    <font>
      <b/>
      <sz val="11"/>
      <color theme="1"/>
      <name val="Arial"/>
      <family val="2"/>
    </font>
    <font>
      <sz val="11"/>
      <color theme="1"/>
      <name val="Marlett"/>
      <charset val="2"/>
    </font>
    <font>
      <b/>
      <sz val="11"/>
      <color rgb="FFFF0000"/>
      <name val="Aptos Narrow"/>
      <family val="2"/>
      <scheme val="minor"/>
    </font>
    <font>
      <b/>
      <sz val="11"/>
      <color theme="6" tint="-0.499984740745262"/>
      <name val="Aptos Narrow"/>
      <family val="2"/>
      <scheme val="minor"/>
    </font>
    <font>
      <b/>
      <sz val="11"/>
      <name val="Calibri"/>
      <family val="2"/>
    </font>
    <font>
      <sz val="11"/>
      <name val="Calibri"/>
      <family val="2"/>
    </font>
    <font>
      <b/>
      <sz val="11"/>
      <color rgb="FF0033CC"/>
      <name val="Aptos Narrow"/>
      <family val="2"/>
      <scheme val="minor"/>
    </font>
    <font>
      <b/>
      <sz val="14"/>
      <color theme="1"/>
      <name val="Aptos Narrow"/>
      <family val="2"/>
      <scheme val="minor"/>
    </font>
    <font>
      <sz val="9"/>
      <color theme="1"/>
      <name val="Arial"/>
      <family val="2"/>
    </font>
    <font>
      <u/>
      <sz val="11"/>
      <color theme="10"/>
      <name val="Aptos Narrow"/>
      <family val="2"/>
      <scheme val="minor"/>
    </font>
    <font>
      <b/>
      <u/>
      <sz val="11"/>
      <color rgb="FF0033CC"/>
      <name val="Aptos Narrow"/>
      <family val="2"/>
      <scheme val="minor"/>
    </font>
    <font>
      <sz val="8"/>
      <name val="Aptos Narrow"/>
      <family val="2"/>
      <scheme val="minor"/>
    </font>
    <font>
      <b/>
      <sz val="11"/>
      <color rgb="FF0033CC"/>
      <name val="Arial"/>
      <family val="2"/>
    </font>
    <font>
      <sz val="11"/>
      <color theme="0"/>
      <name val="Aptos Narrow"/>
      <family val="2"/>
      <scheme val="minor"/>
    </font>
    <font>
      <sz val="11"/>
      <color rgb="FFFFFF00"/>
      <name val="Aptos Narrow"/>
      <family val="2"/>
      <scheme val="minor"/>
    </font>
    <font>
      <b/>
      <u/>
      <sz val="11"/>
      <color theme="0"/>
      <name val="Aptos Narrow"/>
      <family val="2"/>
      <scheme val="minor"/>
    </font>
    <font>
      <sz val="11"/>
      <color theme="4" tint="-0.499984740745262"/>
      <name val="Aptos Narrow"/>
      <family val="2"/>
      <scheme val="minor"/>
    </font>
    <font>
      <b/>
      <sz val="11"/>
      <color theme="4" tint="-0.499984740745262"/>
      <name val="Aptos Narrow"/>
      <family val="2"/>
      <scheme val="minor"/>
    </font>
    <font>
      <b/>
      <sz val="11"/>
      <color theme="9" tint="-0.499984740745262"/>
      <name val="Aptos Narrow"/>
      <family val="2"/>
      <scheme val="minor"/>
    </font>
    <font>
      <sz val="10"/>
      <name val="MS Sans Serif"/>
      <family val="2"/>
    </font>
    <font>
      <b/>
      <sz val="9"/>
      <color indexed="10"/>
      <name val="Tahoma"/>
      <family val="2"/>
    </font>
    <font>
      <b/>
      <sz val="14"/>
      <color rgb="FFFFFF00"/>
      <name val="Aptos Narrow"/>
      <family val="2"/>
      <scheme val="minor"/>
    </font>
    <font>
      <b/>
      <u/>
      <sz val="14"/>
      <color rgb="FF0033CC"/>
      <name val="Aptos Narrow"/>
      <family val="2"/>
      <scheme val="minor"/>
    </font>
    <font>
      <sz val="14"/>
      <color theme="1"/>
      <name val="Aptos Narrow"/>
      <family val="2"/>
      <scheme val="minor"/>
    </font>
    <font>
      <b/>
      <sz val="10"/>
      <color theme="1"/>
      <name val="Arial"/>
      <family val="2"/>
    </font>
    <font>
      <sz val="10"/>
      <color theme="1"/>
      <name val="Arial"/>
      <family val="2"/>
    </font>
    <font>
      <sz val="9"/>
      <color indexed="81"/>
      <name val="Tahoma"/>
      <family val="2"/>
    </font>
    <font>
      <sz val="11"/>
      <color theme="9" tint="-0.499984740745262"/>
      <name val="Aptos Narrow"/>
      <family val="2"/>
      <scheme val="minor"/>
    </font>
    <font>
      <sz val="11"/>
      <color rgb="FFC00000"/>
      <name val="Aptos Narrow"/>
      <family val="2"/>
      <scheme val="minor"/>
    </font>
    <font>
      <sz val="11"/>
      <color rgb="FF000000"/>
      <name val="Aptos Narrow"/>
      <family val="2"/>
      <scheme val="minor"/>
    </font>
    <font>
      <b/>
      <sz val="11"/>
      <color rgb="FF1F1F1F"/>
      <name val="Arial"/>
      <family val="2"/>
    </font>
    <font>
      <sz val="11"/>
      <color rgb="FF1F1F1F"/>
      <name val="Arial"/>
      <family val="2"/>
    </font>
    <font>
      <sz val="11"/>
      <color theme="1"/>
      <name val="Segoe UI"/>
      <family val="2"/>
    </font>
    <font>
      <b/>
      <sz val="11"/>
      <color rgb="FFFFFFFF"/>
      <name val="Calibri"/>
      <family val="2"/>
    </font>
    <font>
      <sz val="11"/>
      <color rgb="FF0000FF"/>
      <name val="Calibri"/>
      <family val="2"/>
    </font>
    <font>
      <sz val="11"/>
      <color rgb="FF000000"/>
      <name val="Calibri"/>
      <family val="2"/>
    </font>
    <font>
      <b/>
      <sz val="11"/>
      <name val="Calibri"/>
      <family val="2"/>
    </font>
    <font>
      <i/>
      <sz val="11"/>
      <color rgb="FF404040"/>
      <name val="Calibri"/>
      <family val="2"/>
    </font>
    <font>
      <b/>
      <sz val="14"/>
      <name val="Calibri"/>
      <family val="2"/>
    </font>
    <font>
      <sz val="11"/>
      <color theme="1"/>
      <name val="Calibri"/>
      <family val="2"/>
    </font>
    <font>
      <b/>
      <sz val="11"/>
      <color theme="5" tint="-0.499984740745262"/>
      <name val="Aptos Narrow"/>
      <family val="2"/>
      <scheme val="minor"/>
    </font>
    <font>
      <sz val="11"/>
      <color rgb="FFFFFFCC"/>
      <name val="Arial"/>
      <family val="2"/>
    </font>
    <font>
      <b/>
      <sz val="11"/>
      <color rgb="FFFFFFCC"/>
      <name val="Arial"/>
      <family val="2"/>
    </font>
    <font>
      <sz val="11"/>
      <color rgb="FFFFFFCC"/>
      <name val="Calibri"/>
      <family val="2"/>
    </font>
    <font>
      <b/>
      <sz val="12"/>
      <color theme="1"/>
      <name val="Aptos Narrow"/>
      <family val="2"/>
      <scheme val="minor"/>
    </font>
    <font>
      <sz val="12"/>
      <color theme="1"/>
      <name val="Aptos Narrow"/>
      <family val="2"/>
      <scheme val="minor"/>
    </font>
    <font>
      <sz val="12"/>
      <name val="Aptos Narrow"/>
      <family val="2"/>
      <scheme val="minor"/>
    </font>
    <font>
      <sz val="12"/>
      <color theme="1"/>
      <name val="Calibri"/>
      <family val="2"/>
    </font>
    <font>
      <sz val="12"/>
      <color theme="1"/>
      <name val="Aptos Narrow"/>
      <family val="2"/>
    </font>
    <font>
      <b/>
      <sz val="12"/>
      <color theme="0"/>
      <name val="Aptos Narrow"/>
      <family val="2"/>
      <scheme val="minor"/>
    </font>
    <font>
      <sz val="12"/>
      <color theme="0"/>
      <name val="Aptos Narrow"/>
      <family val="2"/>
      <scheme val="minor"/>
    </font>
    <font>
      <sz val="12"/>
      <color rgb="FFFFFFCC"/>
      <name val="Aptos Narrow"/>
      <family val="2"/>
      <scheme val="minor"/>
    </font>
    <font>
      <b/>
      <sz val="12"/>
      <color rgb="FFFFFFCC"/>
      <name val="Aptos Narrow"/>
      <family val="2"/>
      <scheme val="minor"/>
    </font>
    <font>
      <sz val="11"/>
      <color theme="5" tint="0.79998168889431442"/>
      <name val="Aptos Narrow"/>
      <family val="2"/>
      <scheme val="minor"/>
    </font>
    <font>
      <b/>
      <sz val="11"/>
      <color theme="5" tint="0.79998168889431442"/>
      <name val="Aptos Narrow"/>
      <family val="2"/>
      <scheme val="minor"/>
    </font>
    <font>
      <sz val="11"/>
      <color rgb="FF99FF66"/>
      <name val="Aptos Narrow"/>
      <family val="2"/>
      <scheme val="minor"/>
    </font>
    <font>
      <b/>
      <sz val="11"/>
      <color rgb="FF99FF66"/>
      <name val="Aptos Narrow"/>
      <family val="2"/>
      <scheme val="minor"/>
    </font>
    <font>
      <sz val="11"/>
      <color theme="0"/>
      <name val="Arial"/>
      <family val="2"/>
    </font>
    <font>
      <sz val="11"/>
      <color theme="0" tint="-4.9989318521683403E-2"/>
      <name val="Aptos Narrow"/>
      <family val="2"/>
      <scheme val="minor"/>
    </font>
    <font>
      <b/>
      <sz val="11"/>
      <color theme="0" tint="-4.9989318521683403E-2"/>
      <name val="Aptos Narrow"/>
      <family val="2"/>
      <scheme val="minor"/>
    </font>
    <font>
      <sz val="8"/>
      <color rgb="FF000000"/>
      <name val="Arial"/>
      <family val="2"/>
    </font>
    <font>
      <sz val="8"/>
      <color theme="1"/>
      <name val="Arial"/>
      <family val="2"/>
    </font>
  </fonts>
  <fills count="36">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FFFFCC"/>
        <bgColor indexed="64"/>
      </patternFill>
    </fill>
    <fill>
      <patternFill patternType="solid">
        <fgColor rgb="FFC00000"/>
        <bgColor indexed="64"/>
      </patternFill>
    </fill>
    <fill>
      <patternFill patternType="solid">
        <fgColor rgb="FFFFFF00"/>
        <bgColor indexed="64"/>
      </patternFill>
    </fill>
    <fill>
      <patternFill patternType="solid">
        <fgColor rgb="FF99FF99"/>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99FFCC"/>
        <bgColor indexed="64"/>
      </patternFill>
    </fill>
    <fill>
      <patternFill patternType="solid">
        <fgColor theme="0" tint="-4.9989318521683403E-2"/>
        <bgColor indexed="64"/>
      </patternFill>
    </fill>
    <fill>
      <patternFill patternType="solid">
        <fgColor theme="7" tint="-0.499984740745262"/>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rgb="FFFFF2CC"/>
      </patternFill>
    </fill>
    <fill>
      <patternFill patternType="solid">
        <fgColor theme="4" tint="-0.499984740745262"/>
        <bgColor indexed="64"/>
      </patternFill>
    </fill>
    <fill>
      <patternFill patternType="solid">
        <fgColor rgb="FFD9E1F2"/>
        <bgColor indexed="64"/>
      </patternFill>
    </fill>
    <fill>
      <patternFill patternType="solid">
        <fgColor theme="0" tint="-0.249977111117893"/>
        <bgColor indexed="64"/>
      </patternFill>
    </fill>
    <fill>
      <patternFill patternType="solid">
        <fgColor rgb="FF0033CC"/>
        <bgColor indexed="64"/>
      </patternFill>
    </fill>
    <fill>
      <patternFill patternType="solid">
        <fgColor theme="6" tint="-0.499984740745262"/>
        <bgColor indexed="64"/>
      </patternFill>
    </fill>
    <fill>
      <patternFill patternType="solid">
        <fgColor rgb="FF99FF66"/>
        <bgColor indexed="64"/>
      </patternFill>
    </fill>
    <fill>
      <patternFill patternType="solid">
        <fgColor theme="5" tint="-0.249977111117893"/>
        <bgColor indexed="64"/>
      </patternFill>
    </fill>
    <fill>
      <patternFill patternType="solid">
        <fgColor rgb="FF669900"/>
        <bgColor indexed="64"/>
      </patternFill>
    </fill>
    <fill>
      <patternFill patternType="solid">
        <fgColor rgb="FFCCFF99"/>
        <bgColor indexed="64"/>
      </patternFill>
    </fill>
    <fill>
      <patternFill patternType="solid">
        <fgColor theme="0" tint="-0.34998626667073579"/>
        <bgColor indexed="64"/>
      </patternFill>
    </fill>
    <fill>
      <patternFill patternType="solid">
        <fgColor rgb="FF66FFFF"/>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rgb="FFFF0000"/>
        <bgColor indexed="64"/>
      </patternFill>
    </fill>
    <fill>
      <patternFill patternType="solid">
        <fgColor rgb="FF1F4E79"/>
      </patternFill>
    </fill>
    <fill>
      <patternFill patternType="solid">
        <fgColor theme="6" tint="0.5999938962981048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indexed="64"/>
      </left>
      <right/>
      <top style="medium">
        <color indexed="64"/>
      </top>
      <bottom/>
      <diagonal/>
    </border>
    <border>
      <left/>
      <right/>
      <top style="double">
        <color indexed="64"/>
      </top>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rgb="FF0033CC"/>
      </left>
      <right style="medium">
        <color rgb="FF0033CC"/>
      </right>
      <top style="medium">
        <color rgb="FF0033CC"/>
      </top>
      <bottom style="medium">
        <color rgb="FF0033CC"/>
      </bottom>
      <diagonal/>
    </border>
    <border>
      <left style="medium">
        <color theme="9" tint="-0.499984740745262"/>
      </left>
      <right style="medium">
        <color theme="9" tint="-0.499984740745262"/>
      </right>
      <top style="medium">
        <color rgb="FF0033CC"/>
      </top>
      <bottom style="medium">
        <color theme="9" tint="-0.499984740745262"/>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rgb="FFC00000"/>
      </left>
      <right style="medium">
        <color rgb="FFC00000"/>
      </right>
      <top style="medium">
        <color theme="9" tint="-0.499984740745262"/>
      </top>
      <bottom style="medium">
        <color rgb="FFC00000"/>
      </bottom>
      <diagonal/>
    </border>
    <border>
      <left style="medium">
        <color rgb="FFC00000"/>
      </left>
      <right style="medium">
        <color rgb="FFC00000"/>
      </right>
      <top style="medium">
        <color rgb="FFC00000"/>
      </top>
      <bottom style="medium">
        <color rgb="FFC00000"/>
      </bottom>
      <diagonal/>
    </border>
    <border>
      <left style="medium">
        <color indexed="64"/>
      </left>
      <right style="thin">
        <color indexed="64"/>
      </right>
      <top style="medium">
        <color indexed="64"/>
      </top>
      <bottom style="thin">
        <color indexed="64"/>
      </bottom>
      <diagonal/>
    </border>
    <border>
      <left/>
      <right/>
      <top/>
      <bottom style="double">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A6A6A6"/>
      </left>
      <right style="thin">
        <color rgb="FFA6A6A6"/>
      </right>
      <top style="thin">
        <color rgb="FFA6A6A6"/>
      </top>
      <bottom style="thin">
        <color rgb="FFA6A6A6"/>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double">
        <color rgb="FF000000"/>
      </top>
      <bottom/>
      <diagonal/>
    </border>
  </borders>
  <cellStyleXfs count="6">
    <xf numFmtId="0" fontId="0" fillId="0" borderId="0"/>
    <xf numFmtId="9" fontId="1" fillId="0" borderId="0" applyFont="0" applyFill="0" applyBorder="0" applyAlignment="0" applyProtection="0"/>
    <xf numFmtId="168" fontId="17" fillId="0" borderId="0"/>
    <xf numFmtId="10" fontId="17" fillId="0" borderId="0"/>
    <xf numFmtId="0" fontId="21" fillId="0" borderId="0" applyNumberFormat="0" applyFill="0" applyBorder="0" applyAlignment="0" applyProtection="0"/>
    <xf numFmtId="0" fontId="31" fillId="0" borderId="0"/>
  </cellStyleXfs>
  <cellXfs count="554">
    <xf numFmtId="0" fontId="0" fillId="0" borderId="0" xfId="0"/>
    <xf numFmtId="16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164" fontId="4" fillId="0" borderId="1" xfId="0" applyNumberFormat="1" applyFont="1" applyBorder="1" applyAlignment="1">
      <alignment vertical="center" wrapText="1"/>
    </xf>
    <xf numFmtId="0" fontId="0" fillId="0" borderId="1" xfId="0" applyBorder="1"/>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0" fillId="0" borderId="1" xfId="0" applyBorder="1" applyAlignment="1">
      <alignment horizontal="center" vertical="center"/>
    </xf>
    <xf numFmtId="0" fontId="7"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0" fillId="0" borderId="1" xfId="0" applyBorder="1" applyAlignment="1">
      <alignment horizontal="center"/>
    </xf>
    <xf numFmtId="4" fontId="0" fillId="0" borderId="0" xfId="0" applyNumberFormat="1"/>
    <xf numFmtId="4" fontId="3" fillId="0" borderId="0" xfId="0" applyNumberFormat="1" applyFont="1"/>
    <xf numFmtId="0" fontId="3" fillId="0" borderId="0" xfId="0" applyFont="1" applyAlignment="1">
      <alignment horizontal="right" indent="1"/>
    </xf>
    <xf numFmtId="4" fontId="0" fillId="8" borderId="1" xfId="0" applyNumberFormat="1" applyFill="1" applyBorder="1"/>
    <xf numFmtId="0" fontId="0" fillId="8" borderId="1" xfId="0" applyFill="1" applyBorder="1" applyAlignment="1">
      <alignment horizontal="right"/>
    </xf>
    <xf numFmtId="3" fontId="0" fillId="8" borderId="1" xfId="0" applyNumberFormat="1" applyFill="1" applyBorder="1"/>
    <xf numFmtId="4" fontId="3" fillId="8" borderId="1" xfId="0" applyNumberFormat="1" applyFont="1" applyFill="1" applyBorder="1"/>
    <xf numFmtId="4" fontId="3" fillId="0" borderId="1" xfId="0" applyNumberFormat="1" applyFont="1" applyBorder="1"/>
    <xf numFmtId="0" fontId="0" fillId="2" borderId="1" xfId="0" applyFill="1" applyBorder="1"/>
    <xf numFmtId="4" fontId="0" fillId="0" borderId="1" xfId="0" applyNumberFormat="1" applyBorder="1"/>
    <xf numFmtId="0" fontId="3" fillId="9" borderId="1" xfId="0" applyFont="1" applyFill="1" applyBorder="1" applyAlignment="1">
      <alignment horizontal="center" vertical="center" wrapText="1"/>
    </xf>
    <xf numFmtId="165" fontId="0" fillId="8" borderId="1" xfId="0" applyNumberFormat="1" applyFill="1" applyBorder="1"/>
    <xf numFmtId="165" fontId="3" fillId="0" borderId="0" xfId="0" applyNumberFormat="1" applyFont="1"/>
    <xf numFmtId="165" fontId="0" fillId="0" borderId="1" xfId="0" applyNumberFormat="1" applyBorder="1"/>
    <xf numFmtId="0" fontId="0" fillId="0" borderId="0" xfId="0" quotePrefix="1"/>
    <xf numFmtId="0" fontId="2" fillId="0" borderId="0" xfId="0" applyFont="1" applyAlignment="1">
      <alignment horizontal="right" indent="1"/>
    </xf>
    <xf numFmtId="165" fontId="0" fillId="0" borderId="0" xfId="0" applyNumberFormat="1"/>
    <xf numFmtId="0" fontId="3" fillId="4" borderId="1" xfId="0" applyFont="1" applyFill="1" applyBorder="1" applyAlignment="1">
      <alignment horizontal="center"/>
    </xf>
    <xf numFmtId="10" fontId="0" fillId="0" borderId="1" xfId="0" applyNumberFormat="1" applyBorder="1"/>
    <xf numFmtId="0" fontId="0" fillId="9" borderId="1" xfId="0" applyFill="1" applyBorder="1"/>
    <xf numFmtId="4" fontId="0" fillId="8" borderId="5" xfId="0" applyNumberFormat="1" applyFill="1" applyBorder="1"/>
    <xf numFmtId="0" fontId="3" fillId="0" borderId="0" xfId="0" applyFont="1" applyAlignment="1">
      <alignment horizontal="left"/>
    </xf>
    <xf numFmtId="0" fontId="4" fillId="0" borderId="7" xfId="0" applyFont="1" applyBorder="1" applyAlignment="1">
      <alignment vertical="center" wrapText="1"/>
    </xf>
    <xf numFmtId="0" fontId="4" fillId="0" borderId="0" xfId="0" applyFont="1" applyAlignment="1">
      <alignment vertical="center" wrapText="1"/>
    </xf>
    <xf numFmtId="0" fontId="0" fillId="0" borderId="1" xfId="0" applyBorder="1" applyAlignment="1">
      <alignment vertical="center" wrapText="1"/>
    </xf>
    <xf numFmtId="0" fontId="12" fillId="2" borderId="1" xfId="0" applyFont="1" applyFill="1" applyBorder="1" applyAlignment="1">
      <alignment horizontal="center" vertical="center"/>
    </xf>
    <xf numFmtId="0" fontId="3" fillId="13" borderId="1" xfId="0" applyFont="1" applyFill="1" applyBorder="1" applyAlignment="1">
      <alignment horizontal="center"/>
    </xf>
    <xf numFmtId="0" fontId="13" fillId="0" borderId="1" xfId="0" applyFont="1" applyBorder="1" applyAlignment="1">
      <alignment horizontal="center" vertical="center"/>
    </xf>
    <xf numFmtId="0" fontId="3" fillId="0" borderId="0" xfId="0" applyFont="1"/>
    <xf numFmtId="0" fontId="0" fillId="0" borderId="1" xfId="0" applyBorder="1" applyAlignment="1">
      <alignment horizontal="center" vertical="center" wrapText="1"/>
    </xf>
    <xf numFmtId="0" fontId="3" fillId="14" borderId="6" xfId="0" applyFont="1" applyFill="1" applyBorder="1" applyAlignment="1">
      <alignment horizontal="center"/>
    </xf>
    <xf numFmtId="0" fontId="3" fillId="14" borderId="1" xfId="0" applyFont="1" applyFill="1" applyBorder="1" applyAlignment="1">
      <alignment horizontal="center"/>
    </xf>
    <xf numFmtId="166" fontId="4" fillId="0" borderId="1" xfId="0" applyNumberFormat="1" applyFont="1" applyBorder="1" applyAlignment="1">
      <alignment horizontal="center" vertical="center" wrapText="1"/>
    </xf>
    <xf numFmtId="0" fontId="0" fillId="15" borderId="0" xfId="0" applyFill="1"/>
    <xf numFmtId="14" fontId="0" fillId="8" borderId="11" xfId="0" applyNumberFormat="1" applyFill="1" applyBorder="1" applyAlignment="1">
      <alignment vertical="center"/>
    </xf>
    <xf numFmtId="0" fontId="0" fillId="0" borderId="11" xfId="0" applyBorder="1" applyAlignment="1">
      <alignment vertical="center"/>
    </xf>
    <xf numFmtId="0" fontId="0" fillId="0" borderId="0" xfId="0" applyAlignment="1">
      <alignment vertical="center"/>
    </xf>
    <xf numFmtId="0" fontId="0" fillId="5" borderId="0" xfId="0" applyFill="1"/>
    <xf numFmtId="0" fontId="16" fillId="0" borderId="0" xfId="0" applyFont="1"/>
    <xf numFmtId="14" fontId="0" fillId="8" borderId="1" xfId="0" applyNumberFormat="1" applyFill="1" applyBorder="1"/>
    <xf numFmtId="0" fontId="0" fillId="8" borderId="1" xfId="0" applyFill="1" applyBorder="1"/>
    <xf numFmtId="0" fontId="19" fillId="0" borderId="0" xfId="0" applyFont="1"/>
    <xf numFmtId="168" fontId="0" fillId="0" borderId="0" xfId="0" applyNumberFormat="1"/>
    <xf numFmtId="168" fontId="0" fillId="8" borderId="0" xfId="0" applyNumberFormat="1" applyFill="1"/>
    <xf numFmtId="4" fontId="0" fillId="8" borderId="0" xfId="0" applyNumberFormat="1" applyFill="1"/>
    <xf numFmtId="10" fontId="0" fillId="8" borderId="0" xfId="0" applyNumberFormat="1" applyFill="1"/>
    <xf numFmtId="0" fontId="14" fillId="0" borderId="0" xfId="0" applyFont="1"/>
    <xf numFmtId="9" fontId="0" fillId="8" borderId="10" xfId="1" applyFont="1" applyFill="1" applyBorder="1"/>
    <xf numFmtId="0" fontId="11" fillId="0" borderId="0" xfId="0" applyFont="1" applyAlignment="1">
      <alignment horizontal="center"/>
    </xf>
    <xf numFmtId="0" fontId="3" fillId="0" borderId="0" xfId="0" applyFont="1" applyAlignment="1">
      <alignment horizontal="left" inden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9" fontId="0" fillId="8" borderId="1" xfId="1" applyFont="1" applyFill="1" applyBorder="1"/>
    <xf numFmtId="164" fontId="6" fillId="0" borderId="1" xfId="0" applyNumberFormat="1" applyFont="1" applyBorder="1" applyAlignment="1">
      <alignment vertical="center" wrapText="1"/>
    </xf>
    <xf numFmtId="4" fontId="0" fillId="0" borderId="8" xfId="0" applyNumberFormat="1" applyBorder="1"/>
    <xf numFmtId="0" fontId="12" fillId="2" borderId="6" xfId="0" applyFont="1" applyFill="1" applyBorder="1" applyAlignment="1">
      <alignment horizontal="center" vertical="center" wrapText="1"/>
    </xf>
    <xf numFmtId="0" fontId="4" fillId="2" borderId="13" xfId="0" applyFont="1" applyFill="1" applyBorder="1" applyAlignment="1">
      <alignment horizontal="center" vertical="center" wrapText="1"/>
    </xf>
    <xf numFmtId="164" fontId="4" fillId="0" borderId="0" xfId="0" applyNumberFormat="1" applyFont="1" applyAlignment="1">
      <alignment horizontal="center" vertical="center" wrapText="1"/>
    </xf>
    <xf numFmtId="0" fontId="3" fillId="18" borderId="1" xfId="0" applyFont="1" applyFill="1" applyBorder="1"/>
    <xf numFmtId="168" fontId="0" fillId="8" borderId="1" xfId="0" applyNumberFormat="1" applyFill="1" applyBorder="1"/>
    <xf numFmtId="0" fontId="3" fillId="18" borderId="1" xfId="0" applyFont="1" applyFill="1" applyBorder="1" applyAlignment="1">
      <alignment horizontal="center"/>
    </xf>
    <xf numFmtId="0" fontId="0" fillId="19" borderId="1" xfId="0" applyFill="1" applyBorder="1"/>
    <xf numFmtId="168" fontId="3" fillId="13" borderId="1" xfId="0" applyNumberFormat="1" applyFont="1" applyFill="1" applyBorder="1"/>
    <xf numFmtId="164" fontId="4" fillId="6" borderId="1" xfId="0" applyNumberFormat="1"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 xfId="0" applyFont="1" applyFill="1" applyBorder="1" applyAlignment="1">
      <alignment horizontal="center" vertical="center" wrapText="1"/>
    </xf>
    <xf numFmtId="164" fontId="12" fillId="6" borderId="1" xfId="0" applyNumberFormat="1" applyFont="1" applyFill="1" applyBorder="1" applyAlignment="1">
      <alignment horizontal="center" vertical="center" wrapText="1"/>
    </xf>
    <xf numFmtId="168" fontId="0" fillId="0" borderId="6" xfId="0" applyNumberFormat="1" applyBorder="1"/>
    <xf numFmtId="164" fontId="12" fillId="6" borderId="1" xfId="0" applyNumberFormat="1" applyFont="1" applyFill="1" applyBorder="1" applyAlignment="1">
      <alignment horizontal="left" vertical="center" wrapText="1"/>
    </xf>
    <xf numFmtId="167" fontId="0" fillId="8" borderId="1" xfId="0" applyNumberFormat="1" applyFill="1" applyBorder="1"/>
    <xf numFmtId="0" fontId="0" fillId="0" borderId="8" xfId="0" applyBorder="1"/>
    <xf numFmtId="0" fontId="3" fillId="8" borderId="1" xfId="0" applyFont="1" applyFill="1" applyBorder="1"/>
    <xf numFmtId="164" fontId="12" fillId="6" borderId="5" xfId="0" applyNumberFormat="1" applyFont="1" applyFill="1" applyBorder="1" applyAlignment="1">
      <alignment horizontal="center" vertical="center" wrapText="1"/>
    </xf>
    <xf numFmtId="0" fontId="3" fillId="0" borderId="1" xfId="0" applyFont="1" applyBorder="1" applyAlignment="1">
      <alignment horizontal="center" vertical="top"/>
    </xf>
    <xf numFmtId="4" fontId="12" fillId="6" borderId="1" xfId="0" applyNumberFormat="1" applyFont="1" applyFill="1" applyBorder="1" applyAlignment="1">
      <alignment vertical="center" wrapText="1"/>
    </xf>
    <xf numFmtId="4" fontId="12" fillId="8" borderId="1" xfId="0" applyNumberFormat="1" applyFont="1" applyFill="1" applyBorder="1" applyAlignment="1">
      <alignment vertical="center" wrapText="1"/>
    </xf>
    <xf numFmtId="9" fontId="0" fillId="0" borderId="0" xfId="1" applyFont="1"/>
    <xf numFmtId="9" fontId="0" fillId="0" borderId="1" xfId="1" applyFont="1" applyBorder="1"/>
    <xf numFmtId="0" fontId="0" fillId="11" borderId="1" xfId="0" applyFill="1" applyBorder="1"/>
    <xf numFmtId="9" fontId="0" fillId="11" borderId="1" xfId="1" applyFont="1" applyFill="1" applyBorder="1"/>
    <xf numFmtId="9" fontId="3" fillId="0" borderId="1" xfId="1" applyFont="1" applyBorder="1" applyAlignment="1">
      <alignment horizontal="center"/>
    </xf>
    <xf numFmtId="9" fontId="0" fillId="0" borderId="0" xfId="0" applyNumberFormat="1"/>
    <xf numFmtId="170" fontId="0" fillId="0" borderId="0" xfId="0" applyNumberFormat="1"/>
    <xf numFmtId="1" fontId="0" fillId="0" borderId="0" xfId="0" applyNumberFormat="1"/>
    <xf numFmtId="170" fontId="0" fillId="8" borderId="1" xfId="0" applyNumberFormat="1" applyFill="1" applyBorder="1"/>
    <xf numFmtId="1" fontId="0" fillId="8" borderId="1" xfId="0" applyNumberFormat="1" applyFill="1" applyBorder="1"/>
    <xf numFmtId="170" fontId="0" fillId="0" borderId="8" xfId="0" applyNumberFormat="1" applyBorder="1"/>
    <xf numFmtId="2" fontId="0" fillId="0" borderId="0" xfId="0" applyNumberFormat="1"/>
    <xf numFmtId="2" fontId="0" fillId="8" borderId="1" xfId="0" applyNumberFormat="1" applyFill="1" applyBorder="1"/>
    <xf numFmtId="0" fontId="0" fillId="0" borderId="0" xfId="0" applyAlignment="1">
      <alignment horizontal="justify" vertical="center" wrapText="1"/>
    </xf>
    <xf numFmtId="0" fontId="4" fillId="2" borderId="1" xfId="0" applyFont="1" applyFill="1" applyBorder="1" applyAlignment="1">
      <alignment horizontal="center" vertical="center" wrapText="1"/>
    </xf>
    <xf numFmtId="0" fontId="17" fillId="0" borderId="0" xfId="0" applyFont="1"/>
    <xf numFmtId="164" fontId="0" fillId="8" borderId="1" xfId="0" applyNumberFormat="1" applyFill="1" applyBorder="1"/>
    <xf numFmtId="0" fontId="0" fillId="0" borderId="0" xfId="0" applyAlignment="1">
      <alignment horizontal="center"/>
    </xf>
    <xf numFmtId="0" fontId="26" fillId="20" borderId="0" xfId="0" applyFont="1" applyFill="1"/>
    <xf numFmtId="0" fontId="7" fillId="20" borderId="0" xfId="0" applyFont="1" applyFill="1"/>
    <xf numFmtId="0" fontId="27" fillId="20" borderId="0" xfId="4" applyFont="1" applyFill="1"/>
    <xf numFmtId="0" fontId="0" fillId="0" borderId="1" xfId="0" applyBorder="1" applyAlignment="1">
      <alignment shrinkToFit="1"/>
    </xf>
    <xf numFmtId="0" fontId="0" fillId="0" borderId="0" xfId="0" applyAlignment="1">
      <alignment shrinkToFit="1"/>
    </xf>
    <xf numFmtId="0" fontId="7" fillId="5" borderId="1" xfId="0" applyFont="1" applyFill="1" applyBorder="1" applyAlignment="1">
      <alignment horizontal="center" vertical="center" shrinkToFit="1"/>
    </xf>
    <xf numFmtId="0" fontId="0" fillId="0" borderId="1" xfId="0" quotePrefix="1" applyBorder="1" applyAlignment="1">
      <alignment shrinkToFit="1"/>
    </xf>
    <xf numFmtId="0" fontId="18" fillId="0" borderId="0" xfId="4" applyFont="1"/>
    <xf numFmtId="0" fontId="0" fillId="0" borderId="1" xfId="0" applyBorder="1" applyAlignment="1">
      <alignment wrapText="1"/>
    </xf>
    <xf numFmtId="0" fontId="18" fillId="0" borderId="0" xfId="0" applyFont="1"/>
    <xf numFmtId="0" fontId="28" fillId="0" borderId="0" xfId="0" applyFont="1"/>
    <xf numFmtId="0" fontId="29" fillId="0" borderId="0" xfId="0" applyFont="1"/>
    <xf numFmtId="0" fontId="22" fillId="0" borderId="0" xfId="4" applyFont="1"/>
    <xf numFmtId="0" fontId="0" fillId="0" borderId="4" xfId="0" applyBorder="1"/>
    <xf numFmtId="0" fontId="3" fillId="9" borderId="1" xfId="0" applyFont="1" applyFill="1" applyBorder="1" applyAlignment="1">
      <alignment horizontal="center"/>
    </xf>
    <xf numFmtId="0" fontId="3" fillId="0" borderId="1" xfId="0" applyFont="1" applyBorder="1" applyAlignment="1">
      <alignment horizontal="left"/>
    </xf>
    <xf numFmtId="0" fontId="0" fillId="0" borderId="1" xfId="0" applyBorder="1" applyAlignment="1">
      <alignment horizontal="right"/>
    </xf>
    <xf numFmtId="0" fontId="0" fillId="0" borderId="21" xfId="0" applyBorder="1" applyAlignment="1">
      <alignment horizontal="center"/>
    </xf>
    <xf numFmtId="14" fontId="0" fillId="8" borderId="1" xfId="0" applyNumberFormat="1" applyFill="1" applyBorder="1" applyAlignment="1">
      <alignment horizontal="center"/>
    </xf>
    <xf numFmtId="0" fontId="0" fillId="0" borderId="22" xfId="0" applyBorder="1"/>
    <xf numFmtId="0" fontId="0" fillId="0" borderId="8" xfId="0" applyBorder="1" applyAlignment="1">
      <alignment horizontal="center"/>
    </xf>
    <xf numFmtId="0" fontId="0" fillId="0" borderId="18" xfId="0" applyBorder="1" applyAlignment="1">
      <alignment horizontal="center"/>
    </xf>
    <xf numFmtId="0" fontId="0" fillId="0" borderId="9" xfId="0" applyBorder="1" applyAlignment="1">
      <alignment horizontal="justify" wrapText="1"/>
    </xf>
    <xf numFmtId="0" fontId="0" fillId="0" borderId="3" xfId="0" applyBorder="1" applyAlignment="1">
      <alignment horizontal="justify"/>
    </xf>
    <xf numFmtId="0" fontId="0" fillId="0" borderId="20" xfId="0" applyBorder="1" applyAlignment="1">
      <alignment horizontal="justify"/>
    </xf>
    <xf numFmtId="0" fontId="0" fillId="0" borderId="4" xfId="0" applyBorder="1" applyAlignment="1">
      <alignment horizontal="justify" wrapText="1"/>
    </xf>
    <xf numFmtId="0" fontId="4" fillId="2" borderId="23" xfId="0" applyFont="1" applyFill="1" applyBorder="1" applyAlignment="1">
      <alignment horizontal="center" vertical="center" wrapText="1"/>
    </xf>
    <xf numFmtId="0" fontId="0" fillId="0" borderId="21" xfId="0" applyBorder="1"/>
    <xf numFmtId="166" fontId="4" fillId="0" borderId="7" xfId="0" applyNumberFormat="1" applyFont="1" applyBorder="1" applyAlignment="1">
      <alignment horizontal="center" vertical="center" wrapText="1"/>
    </xf>
    <xf numFmtId="0" fontId="0" fillId="0" borderId="21" xfId="0" applyBorder="1" applyAlignment="1">
      <alignment horizontal="justify"/>
    </xf>
    <xf numFmtId="166" fontId="4" fillId="0" borderId="4" xfId="0" applyNumberFormat="1" applyFont="1" applyBorder="1" applyAlignment="1">
      <alignment horizontal="center" vertical="center" wrapText="1"/>
    </xf>
    <xf numFmtId="166" fontId="4" fillId="0" borderId="22"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0" fillId="0" borderId="9" xfId="0" applyBorder="1" applyAlignment="1">
      <alignment horizontal="center"/>
    </xf>
    <xf numFmtId="0" fontId="0" fillId="0" borderId="3" xfId="0" applyBorder="1"/>
    <xf numFmtId="0" fontId="0" fillId="0" borderId="3" xfId="0" applyBorder="1" applyAlignment="1">
      <alignment horizontal="center"/>
    </xf>
    <xf numFmtId="0" fontId="0" fillId="0" borderId="20" xfId="0" applyBorder="1" applyAlignment="1">
      <alignment horizontal="center"/>
    </xf>
    <xf numFmtId="0" fontId="0" fillId="0" borderId="4" xfId="0" applyBorder="1" applyAlignment="1">
      <alignment horizontal="center"/>
    </xf>
    <xf numFmtId="166" fontId="4" fillId="0" borderId="10" xfId="0" applyNumberFormat="1" applyFont="1" applyBorder="1" applyAlignment="1">
      <alignment horizontal="center" vertical="center" wrapText="1"/>
    </xf>
    <xf numFmtId="0" fontId="4" fillId="0" borderId="10" xfId="0" applyFont="1" applyBorder="1" applyAlignment="1">
      <alignment vertical="center" wrapText="1"/>
    </xf>
    <xf numFmtId="0" fontId="0" fillId="0" borderId="22" xfId="0" applyBorder="1" applyAlignment="1">
      <alignment horizontal="center"/>
    </xf>
    <xf numFmtId="0" fontId="0" fillId="0" borderId="0" xfId="0" applyAlignment="1">
      <alignment horizontal="justify" vertical="center"/>
    </xf>
    <xf numFmtId="166" fontId="4" fillId="0" borderId="0" xfId="0" applyNumberFormat="1" applyFont="1" applyAlignment="1">
      <alignment horizontal="center" vertical="center" wrapText="1"/>
    </xf>
    <xf numFmtId="0" fontId="4" fillId="0" borderId="0" xfId="0" applyFont="1" applyAlignment="1">
      <alignment horizontal="left" vertical="center" wrapText="1"/>
    </xf>
    <xf numFmtId="0" fontId="0" fillId="0" borderId="0" xfId="0" applyAlignment="1">
      <alignment horizontal="center" vertical="center"/>
    </xf>
    <xf numFmtId="0" fontId="0" fillId="0" borderId="9" xfId="0" applyBorder="1"/>
    <xf numFmtId="0" fontId="0" fillId="0" borderId="20" xfId="0" applyBorder="1"/>
    <xf numFmtId="0" fontId="6" fillId="2" borderId="17" xfId="5" applyFont="1" applyFill="1" applyBorder="1" applyAlignment="1">
      <alignment horizontal="center" vertical="center" wrapText="1"/>
    </xf>
    <xf numFmtId="166" fontId="4" fillId="0" borderId="1" xfId="0" quotePrefix="1" applyNumberFormat="1" applyFont="1" applyBorder="1" applyAlignment="1">
      <alignment horizontal="center" vertical="center" wrapText="1"/>
    </xf>
    <xf numFmtId="0" fontId="25" fillId="0" borderId="0" xfId="0" applyFont="1"/>
    <xf numFmtId="0" fontId="3" fillId="8" borderId="1" xfId="0" applyFont="1" applyFill="1" applyBorder="1" applyAlignment="1" applyProtection="1">
      <alignment horizontal="center" vertical="center"/>
      <protection locked="0"/>
    </xf>
    <xf numFmtId="0" fontId="0" fillId="0" borderId="1" xfId="0" applyBorder="1" applyAlignment="1">
      <alignment vertical="center"/>
    </xf>
    <xf numFmtId="164" fontId="6" fillId="13" borderId="1" xfId="0" applyNumberFormat="1" applyFont="1" applyFill="1" applyBorder="1" applyAlignment="1">
      <alignment horizontal="center" vertical="center" wrapText="1"/>
    </xf>
    <xf numFmtId="0" fontId="7" fillId="5" borderId="5" xfId="0" applyFont="1" applyFill="1" applyBorder="1" applyAlignment="1">
      <alignment horizontal="center" vertical="center"/>
    </xf>
    <xf numFmtId="0" fontId="7" fillId="23" borderId="5" xfId="0" applyFont="1" applyFill="1" applyBorder="1" applyAlignment="1">
      <alignment horizontal="center" vertical="center"/>
    </xf>
    <xf numFmtId="0" fontId="7" fillId="5" borderId="1" xfId="0" applyFont="1" applyFill="1" applyBorder="1" applyAlignment="1">
      <alignment vertical="center"/>
    </xf>
    <xf numFmtId="164" fontId="6" fillId="9" borderId="1" xfId="0" applyNumberFormat="1" applyFont="1" applyFill="1" applyBorder="1" applyAlignment="1">
      <alignment horizontal="center" vertical="center" wrapText="1"/>
    </xf>
    <xf numFmtId="0" fontId="6" fillId="9" borderId="1" xfId="0" applyFont="1" applyFill="1" applyBorder="1" applyAlignment="1">
      <alignment horizontal="justify" vertical="center" wrapText="1"/>
    </xf>
    <xf numFmtId="0" fontId="0" fillId="8" borderId="1" xfId="0" applyFill="1" applyBorder="1" applyAlignment="1">
      <alignment horizontal="center"/>
    </xf>
    <xf numFmtId="0" fontId="3" fillId="17" borderId="0" xfId="0" applyFont="1" applyFill="1"/>
    <xf numFmtId="0" fontId="0" fillId="17" borderId="0" xfId="0" applyFill="1"/>
    <xf numFmtId="0" fontId="11" fillId="0" borderId="0" xfId="0" applyFont="1"/>
    <xf numFmtId="0" fontId="22" fillId="3" borderId="0" xfId="4" applyFont="1" applyFill="1" applyAlignment="1" applyProtection="1">
      <alignment horizontal="center"/>
      <protection locked="0"/>
    </xf>
    <xf numFmtId="0" fontId="3" fillId="25" borderId="1" xfId="0" applyFont="1" applyFill="1" applyBorder="1" applyAlignment="1">
      <alignment horizontal="center" vertical="center" wrapText="1"/>
    </xf>
    <xf numFmtId="164" fontId="4" fillId="0" borderId="10"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xf numFmtId="0" fontId="4" fillId="0" borderId="1" xfId="0" applyFont="1" applyBorder="1"/>
    <xf numFmtId="0" fontId="3" fillId="25" borderId="10" xfId="0"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1" xfId="0" quotePrefix="1" applyNumberFormat="1" applyFont="1" applyBorder="1" applyAlignment="1">
      <alignment horizontal="center" vertical="center" wrapText="1"/>
    </xf>
    <xf numFmtId="0" fontId="4" fillId="0" borderId="1" xfId="0" applyFont="1" applyBorder="1" applyAlignment="1">
      <alignment horizontal="center" vertical="center"/>
    </xf>
    <xf numFmtId="0" fontId="36" fillId="11" borderId="1" xfId="0" applyFont="1" applyFill="1" applyBorder="1" applyAlignment="1">
      <alignment horizontal="center" vertical="center"/>
    </xf>
    <xf numFmtId="164" fontId="4" fillId="0" borderId="1" xfId="0" applyNumberFormat="1" applyFont="1" applyBorder="1" applyAlignment="1">
      <alignment horizontal="left" vertical="center" wrapText="1"/>
    </xf>
    <xf numFmtId="0" fontId="4" fillId="0" borderId="1" xfId="0" applyFont="1" applyBorder="1" applyAlignment="1">
      <alignment wrapText="1"/>
    </xf>
    <xf numFmtId="164" fontId="6" fillId="0" borderId="1" xfId="0" applyNumberFormat="1" applyFont="1" applyBorder="1" applyAlignment="1">
      <alignment horizontal="justify" vertical="center" wrapText="1"/>
    </xf>
    <xf numFmtId="0" fontId="6" fillId="0" borderId="1" xfId="0" applyFont="1" applyBorder="1" applyAlignment="1">
      <alignment horizontal="justify" vertical="center" wrapText="1"/>
    </xf>
    <xf numFmtId="4" fontId="0" fillId="0" borderId="1" xfId="0" applyNumberFormat="1" applyBorder="1" applyAlignment="1">
      <alignment vertical="center" wrapText="1"/>
    </xf>
    <xf numFmtId="0" fontId="3" fillId="22" borderId="1" xfId="0" applyFont="1" applyFill="1" applyBorder="1" applyAlignment="1">
      <alignment horizontal="center" vertical="center" wrapText="1"/>
    </xf>
    <xf numFmtId="0" fontId="3" fillId="6" borderId="10" xfId="0" applyFont="1" applyFill="1" applyBorder="1" applyAlignment="1">
      <alignment horizontal="center" vertical="center"/>
    </xf>
    <xf numFmtId="0" fontId="3" fillId="7" borderId="10" xfId="0" applyFont="1" applyFill="1" applyBorder="1" applyAlignment="1">
      <alignment horizontal="center" vertical="center"/>
    </xf>
    <xf numFmtId="0" fontId="7" fillId="5" borderId="10" xfId="0" applyFont="1" applyFill="1" applyBorder="1" applyAlignment="1">
      <alignment horizontal="center" vertical="center"/>
    </xf>
    <xf numFmtId="0" fontId="0" fillId="0" borderId="0" xfId="0" applyAlignment="1">
      <alignment horizontal="right" indent="1"/>
    </xf>
    <xf numFmtId="164" fontId="6" fillId="26" borderId="1" xfId="0" applyNumberFormat="1" applyFont="1" applyFill="1" applyBorder="1" applyAlignment="1">
      <alignment horizontal="center" vertical="center" wrapText="1"/>
    </xf>
    <xf numFmtId="4" fontId="0" fillId="26" borderId="1" xfId="0" applyNumberFormat="1" applyFill="1" applyBorder="1"/>
    <xf numFmtId="0" fontId="0" fillId="0" borderId="1" xfId="0" applyBorder="1" applyAlignment="1">
      <alignment horizontal="left"/>
    </xf>
    <xf numFmtId="0" fontId="3" fillId="0" borderId="0" xfId="0" applyFont="1" applyAlignment="1">
      <alignment horizontal="center"/>
    </xf>
    <xf numFmtId="164" fontId="4" fillId="19" borderId="10" xfId="0" applyNumberFormat="1" applyFont="1" applyFill="1" applyBorder="1" applyAlignment="1">
      <alignment horizontal="center" vertical="center" wrapText="1"/>
    </xf>
    <xf numFmtId="0" fontId="6" fillId="19" borderId="1" xfId="0" applyFont="1" applyFill="1" applyBorder="1" applyAlignment="1">
      <alignment vertical="center" wrapText="1"/>
    </xf>
    <xf numFmtId="4" fontId="0" fillId="19" borderId="1" xfId="0" applyNumberFormat="1" applyFill="1" applyBorder="1"/>
    <xf numFmtId="0" fontId="14" fillId="0" borderId="0" xfId="0" applyFont="1" applyAlignment="1">
      <alignment horizontal="center"/>
    </xf>
    <xf numFmtId="0" fontId="3" fillId="28" borderId="1" xfId="0" applyFont="1" applyFill="1" applyBorder="1" applyAlignment="1">
      <alignment horizontal="center"/>
    </xf>
    <xf numFmtId="0" fontId="0" fillId="8" borderId="1" xfId="0" applyFill="1" applyBorder="1" applyAlignment="1">
      <alignment horizontal="left"/>
    </xf>
    <xf numFmtId="4" fontId="0" fillId="0" borderId="1" xfId="0" applyNumberFormat="1" applyBorder="1" applyAlignment="1">
      <alignment horizontal="right"/>
    </xf>
    <xf numFmtId="0" fontId="3" fillId="8" borderId="1" xfId="0" applyFont="1" applyFill="1" applyBorder="1" applyAlignment="1">
      <alignment horizontal="right" indent="1"/>
    </xf>
    <xf numFmtId="0" fontId="0" fillId="0" borderId="0" xfId="0" applyAlignment="1">
      <alignment horizontal="left"/>
    </xf>
    <xf numFmtId="3" fontId="0" fillId="0" borderId="1" xfId="0" applyNumberFormat="1" applyBorder="1"/>
    <xf numFmtId="0" fontId="4" fillId="0" borderId="5" xfId="0" applyFont="1" applyBorder="1" applyAlignment="1">
      <alignment vertical="center" wrapText="1"/>
    </xf>
    <xf numFmtId="4" fontId="0" fillId="0" borderId="5" xfId="0" applyNumberFormat="1" applyBorder="1"/>
    <xf numFmtId="0" fontId="18" fillId="0" borderId="26" xfId="0" applyFont="1" applyBorder="1" applyAlignment="1">
      <alignment horizontal="left" indent="1"/>
    </xf>
    <xf numFmtId="0" fontId="0" fillId="0" borderId="26" xfId="0" applyBorder="1" applyAlignment="1">
      <alignment horizontal="right"/>
    </xf>
    <xf numFmtId="166" fontId="0" fillId="0" borderId="26" xfId="0" applyNumberFormat="1" applyBorder="1" applyAlignment="1">
      <alignment horizontal="right"/>
    </xf>
    <xf numFmtId="0" fontId="30" fillId="0" borderId="27" xfId="0" applyFont="1" applyBorder="1" applyAlignment="1">
      <alignment horizontal="left" indent="1"/>
    </xf>
    <xf numFmtId="0" fontId="30" fillId="0" borderId="28" xfId="0" applyFont="1" applyBorder="1" applyAlignment="1">
      <alignment horizontal="left" indent="1"/>
    </xf>
    <xf numFmtId="0" fontId="11" fillId="0" borderId="29" xfId="0" applyFont="1" applyBorder="1" applyAlignment="1">
      <alignment horizontal="left" indent="1"/>
    </xf>
    <xf numFmtId="0" fontId="11" fillId="0" borderId="30" xfId="0" applyFont="1" applyBorder="1" applyAlignment="1">
      <alignment horizontal="left" indent="1"/>
    </xf>
    <xf numFmtId="4" fontId="0" fillId="0" borderId="26" xfId="0" applyNumberFormat="1" applyBorder="1" applyAlignment="1">
      <alignment horizontal="right"/>
    </xf>
    <xf numFmtId="0" fontId="39" fillId="0" borderId="27" xfId="0" applyFont="1" applyBorder="1" applyAlignment="1">
      <alignment horizontal="right"/>
    </xf>
    <xf numFmtId="0" fontId="39" fillId="0" borderId="28" xfId="0" applyFont="1" applyBorder="1" applyAlignment="1">
      <alignment horizontal="right"/>
    </xf>
    <xf numFmtId="166" fontId="39" fillId="0" borderId="28" xfId="0" applyNumberFormat="1" applyFont="1" applyBorder="1" applyAlignment="1">
      <alignment horizontal="right"/>
    </xf>
    <xf numFmtId="4" fontId="39" fillId="0" borderId="28" xfId="0" applyNumberFormat="1" applyFont="1" applyBorder="1" applyAlignment="1">
      <alignment horizontal="right"/>
    </xf>
    <xf numFmtId="0" fontId="40" fillId="0" borderId="29" xfId="0" applyFont="1" applyBorder="1" applyAlignment="1">
      <alignment horizontal="right"/>
    </xf>
    <xf numFmtId="0" fontId="40" fillId="0" borderId="30" xfId="0" applyFont="1" applyBorder="1" applyAlignment="1">
      <alignment horizontal="right"/>
    </xf>
    <xf numFmtId="166" fontId="40" fillId="0" borderId="30" xfId="0" applyNumberFormat="1" applyFont="1" applyBorder="1" applyAlignment="1">
      <alignment horizontal="right"/>
    </xf>
    <xf numFmtId="4" fontId="40" fillId="0" borderId="30" xfId="0" applyNumberFormat="1" applyFont="1" applyBorder="1" applyAlignment="1">
      <alignment horizontal="right"/>
    </xf>
    <xf numFmtId="0" fontId="3" fillId="29" borderId="1" xfId="0" applyFont="1" applyFill="1" applyBorder="1" applyAlignment="1">
      <alignment horizontal="center" vertical="center"/>
    </xf>
    <xf numFmtId="0" fontId="3" fillId="29" borderId="1" xfId="0" applyFont="1" applyFill="1" applyBorder="1" applyAlignment="1">
      <alignment horizontal="center" vertical="center" wrapText="1"/>
    </xf>
    <xf numFmtId="4" fontId="0" fillId="0" borderId="1" xfId="0" quotePrefix="1" applyNumberFormat="1" applyBorder="1"/>
    <xf numFmtId="0" fontId="0" fillId="30" borderId="1" xfId="0" applyFill="1" applyBorder="1"/>
    <xf numFmtId="4" fontId="0" fillId="8" borderId="5" xfId="1" applyNumberFormat="1" applyFont="1" applyFill="1" applyBorder="1"/>
    <xf numFmtId="4" fontId="0" fillId="0" borderId="10" xfId="1" applyNumberFormat="1" applyFont="1" applyFill="1" applyBorder="1"/>
    <xf numFmtId="0" fontId="11" fillId="0" borderId="0" xfId="0" applyFont="1" applyAlignment="1">
      <alignment horizontal="right" indent="1"/>
    </xf>
    <xf numFmtId="4" fontId="11" fillId="0" borderId="0" xfId="0" applyNumberFormat="1" applyFont="1"/>
    <xf numFmtId="0" fontId="30" fillId="0" borderId="0" xfId="0" applyFont="1" applyAlignment="1">
      <alignment horizontal="right" indent="1"/>
    </xf>
    <xf numFmtId="4" fontId="39" fillId="0" borderId="0" xfId="0" applyNumberFormat="1" applyFont="1"/>
    <xf numFmtId="0" fontId="18" fillId="0" borderId="26" xfId="0" applyFont="1" applyBorder="1" applyAlignment="1">
      <alignment horizontal="right" indent="1"/>
    </xf>
    <xf numFmtId="4" fontId="18" fillId="0" borderId="26" xfId="0" applyNumberFormat="1" applyFont="1" applyBorder="1"/>
    <xf numFmtId="0" fontId="18" fillId="0" borderId="26" xfId="0" applyFont="1" applyBorder="1"/>
    <xf numFmtId="164" fontId="4" fillId="30" borderId="10" xfId="0" applyNumberFormat="1" applyFont="1" applyFill="1" applyBorder="1" applyAlignment="1">
      <alignment horizontal="center" vertical="center" wrapText="1"/>
    </xf>
    <xf numFmtId="4" fontId="0" fillId="30" borderId="1" xfId="0" applyNumberFormat="1" applyFill="1" applyBorder="1"/>
    <xf numFmtId="0" fontId="6" fillId="30" borderId="1" xfId="0" applyFont="1" applyFill="1" applyBorder="1" applyAlignment="1">
      <alignment vertical="center" wrapText="1"/>
    </xf>
    <xf numFmtId="164" fontId="6" fillId="0" borderId="0" xfId="0" applyNumberFormat="1" applyFont="1" applyAlignment="1">
      <alignment horizontal="center" vertical="center" wrapText="1"/>
    </xf>
    <xf numFmtId="0" fontId="6" fillId="0" borderId="0" xfId="0" applyFont="1" applyAlignment="1">
      <alignment horizontal="justify" vertical="center" wrapText="1"/>
    </xf>
    <xf numFmtId="0" fontId="6" fillId="0" borderId="0" xfId="0" applyFont="1" applyAlignment="1">
      <alignment vertical="center" wrapText="1"/>
    </xf>
    <xf numFmtId="0" fontId="4" fillId="0" borderId="1" xfId="0" applyFont="1" applyBorder="1" applyAlignment="1">
      <alignment vertical="center"/>
    </xf>
    <xf numFmtId="4" fontId="41" fillId="0" borderId="0" xfId="0" applyNumberFormat="1" applyFont="1" applyAlignment="1">
      <alignment horizontal="center" vertical="center" wrapText="1"/>
    </xf>
    <xf numFmtId="10" fontId="0" fillId="0" borderId="1" xfId="1" applyNumberFormat="1" applyFont="1" applyBorder="1"/>
    <xf numFmtId="10" fontId="0" fillId="8" borderId="1" xfId="1" applyNumberFormat="1" applyFont="1" applyFill="1" applyBorder="1" applyProtection="1"/>
    <xf numFmtId="0" fontId="42" fillId="13" borderId="35" xfId="0" applyFont="1" applyFill="1" applyBorder="1" applyAlignment="1">
      <alignment horizontal="center" vertical="center" wrapText="1" readingOrder="1"/>
    </xf>
    <xf numFmtId="14" fontId="43" fillId="8" borderId="35" xfId="0" applyNumberFormat="1" applyFont="1" applyFill="1" applyBorder="1" applyAlignment="1">
      <alignment horizontal="center" vertical="center" wrapText="1" readingOrder="1"/>
    </xf>
    <xf numFmtId="0" fontId="43" fillId="8" borderId="35" xfId="0" applyFont="1" applyFill="1" applyBorder="1" applyAlignment="1">
      <alignment horizontal="center" vertical="center" wrapText="1" readingOrder="1"/>
    </xf>
    <xf numFmtId="167" fontId="43" fillId="8" borderId="35" xfId="0" applyNumberFormat="1" applyFont="1" applyFill="1" applyBorder="1" applyAlignment="1">
      <alignment horizontal="center" vertical="center" wrapText="1" readingOrder="1"/>
    </xf>
    <xf numFmtId="8" fontId="43" fillId="0" borderId="35" xfId="0" applyNumberFormat="1" applyFont="1" applyBorder="1" applyAlignment="1">
      <alignment horizontal="center" vertical="center" wrapText="1" readingOrder="1"/>
    </xf>
    <xf numFmtId="0" fontId="42" fillId="0" borderId="35" xfId="0" applyFont="1" applyBorder="1" applyAlignment="1">
      <alignment horizontal="left" vertical="center" wrapText="1" indent="1" readingOrder="1"/>
    </xf>
    <xf numFmtId="0" fontId="42" fillId="0" borderId="35" xfId="0" applyFont="1" applyBorder="1" applyAlignment="1">
      <alignment horizontal="center" vertical="center" wrapText="1" readingOrder="1"/>
    </xf>
    <xf numFmtId="8" fontId="42" fillId="0" borderId="35" xfId="0" applyNumberFormat="1" applyFont="1" applyBorder="1" applyAlignment="1">
      <alignment horizontal="center" vertical="center" wrapText="1" readingOrder="1"/>
    </xf>
    <xf numFmtId="8" fontId="0" fillId="0" borderId="8" xfId="0" applyNumberFormat="1" applyBorder="1" applyAlignment="1">
      <alignment horizontal="center"/>
    </xf>
    <xf numFmtId="14" fontId="0" fillId="0" borderId="0" xfId="0" applyNumberFormat="1"/>
    <xf numFmtId="0" fontId="3" fillId="0" borderId="0" xfId="0" applyFont="1" applyAlignment="1">
      <alignment vertical="center" wrapText="1"/>
    </xf>
    <xf numFmtId="14" fontId="0" fillId="8" borderId="1" xfId="0" applyNumberFormat="1" applyFill="1" applyBorder="1" applyAlignment="1">
      <alignment vertical="center"/>
    </xf>
    <xf numFmtId="0" fontId="3" fillId="3" borderId="1" xfId="0" applyFont="1" applyFill="1" applyBorder="1" applyAlignment="1">
      <alignment horizontal="center" wrapText="1"/>
    </xf>
    <xf numFmtId="14" fontId="0" fillId="0" borderId="1" xfId="0" applyNumberFormat="1" applyBorder="1" applyAlignment="1">
      <alignment horizontal="center"/>
    </xf>
    <xf numFmtId="0" fontId="44" fillId="0" borderId="0" xfId="0" applyFont="1" applyAlignment="1">
      <alignment vertical="center"/>
    </xf>
    <xf numFmtId="8" fontId="0" fillId="0" borderId="8" xfId="0" quotePrefix="1" applyNumberFormat="1" applyBorder="1" applyAlignment="1">
      <alignment horizontal="center"/>
    </xf>
    <xf numFmtId="0" fontId="43" fillId="0" borderId="35" xfId="0" applyFont="1" applyBorder="1" applyAlignment="1">
      <alignment horizontal="center" vertical="center" wrapText="1" readingOrder="1"/>
    </xf>
    <xf numFmtId="0" fontId="3" fillId="0" borderId="0" xfId="0" applyFont="1" applyAlignment="1">
      <alignment horizontal="right"/>
    </xf>
    <xf numFmtId="0" fontId="0" fillId="33" borderId="0" xfId="0" applyFill="1"/>
    <xf numFmtId="0" fontId="45" fillId="34" borderId="36" xfId="0" applyFont="1" applyFill="1" applyBorder="1" applyAlignment="1">
      <alignment horizontal="center" vertical="center" wrapText="1"/>
    </xf>
    <xf numFmtId="0" fontId="0" fillId="0" borderId="36" xfId="0" applyBorder="1" applyAlignment="1">
      <alignment horizontal="left" vertical="center" wrapText="1"/>
    </xf>
    <xf numFmtId="4" fontId="47" fillId="0" borderId="36" xfId="0" applyNumberFormat="1" applyFont="1" applyBorder="1" applyAlignment="1">
      <alignment horizontal="right" vertical="center"/>
    </xf>
    <xf numFmtId="0" fontId="48" fillId="16" borderId="36" xfId="0" applyFont="1" applyFill="1" applyBorder="1" applyAlignment="1">
      <alignment horizontal="left" vertical="center" wrapText="1"/>
    </xf>
    <xf numFmtId="4" fontId="48" fillId="16" borderId="36" xfId="0" applyNumberFormat="1" applyFont="1" applyFill="1" applyBorder="1" applyAlignment="1">
      <alignment horizontal="right" vertical="center"/>
    </xf>
    <xf numFmtId="171" fontId="48" fillId="16" borderId="36" xfId="0" applyNumberFormat="1" applyFont="1" applyFill="1" applyBorder="1" applyAlignment="1">
      <alignment horizontal="right" vertical="center"/>
    </xf>
    <xf numFmtId="4" fontId="46" fillId="8" borderId="36" xfId="0" applyNumberFormat="1" applyFont="1" applyFill="1" applyBorder="1" applyAlignment="1">
      <alignment horizontal="right" vertical="center"/>
    </xf>
    <xf numFmtId="0" fontId="50" fillId="0" borderId="0" xfId="0" applyFont="1"/>
    <xf numFmtId="0" fontId="2" fillId="0" borderId="0" xfId="0" applyFont="1"/>
    <xf numFmtId="4" fontId="25" fillId="0" borderId="0" xfId="0" applyNumberFormat="1" applyFont="1"/>
    <xf numFmtId="0" fontId="25" fillId="0" borderId="8" xfId="0" applyFont="1" applyBorder="1"/>
    <xf numFmtId="4" fontId="2" fillId="0" borderId="0" xfId="0" applyNumberFormat="1" applyFont="1"/>
    <xf numFmtId="10" fontId="25" fillId="0" borderId="1" xfId="0" applyNumberFormat="1" applyFont="1" applyBorder="1"/>
    <xf numFmtId="168" fontId="25" fillId="0" borderId="1" xfId="0" applyNumberFormat="1" applyFont="1" applyBorder="1"/>
    <xf numFmtId="169" fontId="25" fillId="0" borderId="1" xfId="0" applyNumberFormat="1" applyFont="1" applyBorder="1"/>
    <xf numFmtId="4" fontId="25" fillId="0" borderId="8" xfId="0" applyNumberFormat="1" applyFont="1" applyBorder="1"/>
    <xf numFmtId="4" fontId="8" fillId="0" borderId="0" xfId="0" applyNumberFormat="1" applyFont="1"/>
    <xf numFmtId="4" fontId="8" fillId="0" borderId="8" xfId="0" applyNumberFormat="1" applyFont="1" applyBorder="1"/>
    <xf numFmtId="9" fontId="8" fillId="0" borderId="8" xfId="1" applyFont="1" applyBorder="1"/>
    <xf numFmtId="4" fontId="9" fillId="0" borderId="0" xfId="0" applyNumberFormat="1" applyFont="1"/>
    <xf numFmtId="4" fontId="55" fillId="0" borderId="36" xfId="0" applyNumberFormat="1" applyFont="1" applyBorder="1" applyAlignment="1">
      <alignment horizontal="right" vertical="center"/>
    </xf>
    <xf numFmtId="171" fontId="55" fillId="0" borderId="36" xfId="0" applyNumberFormat="1" applyFont="1" applyBorder="1" applyAlignment="1">
      <alignment horizontal="right" vertical="center"/>
    </xf>
    <xf numFmtId="168" fontId="25" fillId="0" borderId="0" xfId="0" applyNumberFormat="1" applyFont="1"/>
    <xf numFmtId="168" fontId="2" fillId="0" borderId="0" xfId="0" applyNumberFormat="1" applyFont="1"/>
    <xf numFmtId="4" fontId="25" fillId="0" borderId="1" xfId="0" applyNumberFormat="1" applyFont="1" applyBorder="1"/>
    <xf numFmtId="0" fontId="57" fillId="0" borderId="0" xfId="0" applyFont="1"/>
    <xf numFmtId="0" fontId="56" fillId="31" borderId="1" xfId="0" applyFont="1" applyFill="1" applyBorder="1" applyAlignment="1">
      <alignment horizontal="center"/>
    </xf>
    <xf numFmtId="164" fontId="58" fillId="0" borderId="1" xfId="0" applyNumberFormat="1" applyFont="1" applyBorder="1" applyAlignment="1">
      <alignment horizontal="center" vertical="center" wrapText="1"/>
    </xf>
    <xf numFmtId="164" fontId="58" fillId="0" borderId="1" xfId="0" applyNumberFormat="1" applyFont="1" applyBorder="1" applyAlignment="1">
      <alignment vertical="center" wrapText="1"/>
    </xf>
    <xf numFmtId="0" fontId="57" fillId="4" borderId="1" xfId="0" applyFont="1" applyFill="1" applyBorder="1" applyAlignment="1">
      <alignment vertical="center" wrapText="1"/>
    </xf>
    <xf numFmtId="0" fontId="56" fillId="2" borderId="40" xfId="0" applyFont="1" applyFill="1" applyBorder="1" applyAlignment="1">
      <alignment horizontal="center" vertical="center" wrapText="1"/>
    </xf>
    <xf numFmtId="0" fontId="56" fillId="2" borderId="37" xfId="0" applyFont="1" applyFill="1" applyBorder="1" applyAlignment="1">
      <alignment horizontal="center" vertical="center" wrapText="1"/>
    </xf>
    <xf numFmtId="0" fontId="35" fillId="11" borderId="41" xfId="0" applyFont="1" applyFill="1" applyBorder="1"/>
    <xf numFmtId="0" fontId="35" fillId="13" borderId="41" xfId="0" applyFont="1" applyFill="1" applyBorder="1"/>
    <xf numFmtId="0" fontId="34" fillId="11" borderId="41" xfId="4" applyFont="1" applyFill="1" applyBorder="1" applyAlignment="1">
      <alignment horizontal="center"/>
    </xf>
    <xf numFmtId="0" fontId="34" fillId="13" borderId="41" xfId="4" applyFont="1" applyFill="1" applyBorder="1" applyAlignment="1">
      <alignment horizontal="center"/>
    </xf>
    <xf numFmtId="164" fontId="61" fillId="0" borderId="10" xfId="0" applyNumberFormat="1" applyFont="1" applyBorder="1" applyAlignment="1">
      <alignment horizontal="center" vertical="center" wrapText="1"/>
    </xf>
    <xf numFmtId="0" fontId="62" fillId="0" borderId="10" xfId="0" applyFont="1" applyBorder="1" applyAlignment="1">
      <alignment vertical="center" wrapText="1"/>
    </xf>
    <xf numFmtId="164" fontId="61" fillId="0" borderId="1" xfId="0" applyNumberFormat="1" applyFont="1" applyBorder="1" applyAlignment="1">
      <alignment horizontal="center" vertical="center" wrapText="1"/>
    </xf>
    <xf numFmtId="0" fontId="62" fillId="0" borderId="1" xfId="0" applyFont="1" applyBorder="1" applyAlignment="1">
      <alignment vertical="center" wrapText="1"/>
    </xf>
    <xf numFmtId="0" fontId="11" fillId="0" borderId="1" xfId="0" applyFont="1" applyBorder="1" applyAlignment="1">
      <alignment horizontal="center"/>
    </xf>
    <xf numFmtId="0" fontId="3" fillId="31" borderId="1" xfId="0" applyFont="1" applyFill="1" applyBorder="1" applyAlignment="1">
      <alignment horizontal="center" vertical="center"/>
    </xf>
    <xf numFmtId="0" fontId="7" fillId="12" borderId="0" xfId="0" applyFont="1" applyFill="1" applyAlignment="1">
      <alignment horizontal="center" vertical="center"/>
    </xf>
    <xf numFmtId="0" fontId="3" fillId="35" borderId="5" xfId="0" applyFont="1" applyFill="1" applyBorder="1" applyAlignment="1">
      <alignment horizontal="center" vertical="center"/>
    </xf>
    <xf numFmtId="0" fontId="3" fillId="35" borderId="1" xfId="0" applyFont="1" applyFill="1" applyBorder="1" applyAlignment="1">
      <alignment horizontal="center" vertical="center"/>
    </xf>
    <xf numFmtId="0" fontId="0" fillId="0" borderId="1" xfId="0" quotePrefix="1" applyBorder="1" applyAlignment="1">
      <alignment horizontal="center"/>
    </xf>
    <xf numFmtId="0" fontId="0" fillId="0" borderId="1" xfId="0" quotePrefix="1" applyBorder="1" applyAlignment="1">
      <alignment horizontal="center" vertical="center"/>
    </xf>
    <xf numFmtId="0" fontId="0" fillId="0" borderId="19" xfId="0" applyBorder="1"/>
    <xf numFmtId="0" fontId="3" fillId="0" borderId="19" xfId="0" applyFont="1" applyBorder="1" applyAlignment="1">
      <alignment horizontal="center"/>
    </xf>
    <xf numFmtId="0" fontId="0" fillId="0" borderId="0" xfId="0" applyAlignment="1">
      <alignment horizontal="right"/>
    </xf>
    <xf numFmtId="0" fontId="51" fillId="0" borderId="0" xfId="0" applyFont="1"/>
    <xf numFmtId="0" fontId="18" fillId="0" borderId="0" xfId="0" applyFont="1" applyAlignment="1">
      <alignment horizontal="right"/>
    </xf>
    <xf numFmtId="0" fontId="11" fillId="0" borderId="0" xfId="0" applyFont="1" applyAlignment="1">
      <alignment horizontal="right"/>
    </xf>
    <xf numFmtId="0" fontId="24" fillId="0" borderId="0" xfId="0" applyFont="1" applyAlignment="1">
      <alignment horizontal="right"/>
    </xf>
    <xf numFmtId="0" fontId="52" fillId="0" borderId="0" xfId="0" applyFont="1" applyAlignment="1">
      <alignment horizontal="right"/>
    </xf>
    <xf numFmtId="4" fontId="18" fillId="0" borderId="0" xfId="0" applyNumberFormat="1" applyFont="1"/>
    <xf numFmtId="0" fontId="4" fillId="2" borderId="1" xfId="0" applyFont="1" applyFill="1" applyBorder="1" applyAlignment="1">
      <alignment horizontal="center" vertical="center"/>
    </xf>
    <xf numFmtId="4" fontId="0" fillId="0" borderId="1" xfId="0" applyNumberFormat="1" applyBorder="1" applyAlignment="1">
      <alignment vertical="center"/>
    </xf>
    <xf numFmtId="0" fontId="4" fillId="2" borderId="31" xfId="0" applyFont="1" applyFill="1" applyBorder="1" applyAlignment="1">
      <alignment horizontal="center" vertical="center" wrapText="1"/>
    </xf>
    <xf numFmtId="4" fontId="0" fillId="0" borderId="15" xfId="0" applyNumberFormat="1" applyBorder="1"/>
    <xf numFmtId="4" fontId="41" fillId="0" borderId="15" xfId="0" applyNumberFormat="1" applyFont="1" applyBorder="1" applyAlignment="1">
      <alignment horizontal="center" vertical="center" wrapText="1"/>
    </xf>
    <xf numFmtId="0" fontId="33" fillId="17" borderId="16" xfId="0" applyFont="1" applyFill="1" applyBorder="1" applyAlignment="1">
      <alignment horizontal="center" vertical="center"/>
    </xf>
    <xf numFmtId="0" fontId="2" fillId="5" borderId="1" xfId="0" applyFont="1" applyFill="1" applyBorder="1" applyAlignment="1">
      <alignment horizontal="center" vertical="center" wrapText="1"/>
    </xf>
    <xf numFmtId="0" fontId="51" fillId="0" borderId="0" xfId="0" applyFont="1" applyAlignment="1">
      <alignment horizontal="center"/>
    </xf>
    <xf numFmtId="9" fontId="0" fillId="8" borderId="1" xfId="0" applyNumberFormat="1" applyFill="1" applyBorder="1"/>
    <xf numFmtId="0" fontId="3" fillId="31" borderId="1" xfId="0" applyFont="1" applyFill="1" applyBorder="1" applyAlignment="1">
      <alignment horizontal="center" vertical="center" wrapText="1"/>
    </xf>
    <xf numFmtId="9" fontId="0" fillId="0" borderId="1" xfId="1" quotePrefix="1" applyFont="1" applyBorder="1"/>
    <xf numFmtId="0" fontId="0" fillId="30" borderId="7" xfId="0" applyFill="1" applyBorder="1"/>
    <xf numFmtId="4" fontId="0" fillId="0" borderId="6" xfId="0" applyNumberFormat="1" applyBorder="1"/>
    <xf numFmtId="0" fontId="35" fillId="11" borderId="42" xfId="0" applyFont="1" applyFill="1" applyBorder="1"/>
    <xf numFmtId="0" fontId="34" fillId="11" borderId="42" xfId="4" applyFont="1" applyFill="1" applyBorder="1" applyAlignment="1">
      <alignment horizontal="center"/>
    </xf>
    <xf numFmtId="164" fontId="69" fillId="0" borderId="1" xfId="0" applyNumberFormat="1" applyFont="1" applyBorder="1" applyAlignment="1">
      <alignment horizontal="center" vertical="center" wrapText="1"/>
    </xf>
    <xf numFmtId="0" fontId="72" fillId="0" borderId="43" xfId="0" applyFont="1" applyBorder="1" applyAlignment="1">
      <alignment horizontal="center" vertical="center" wrapText="1"/>
    </xf>
    <xf numFmtId="0" fontId="72" fillId="0" borderId="32" xfId="0" applyFont="1" applyBorder="1" applyAlignment="1">
      <alignment horizontal="center" vertical="center" wrapText="1"/>
    </xf>
    <xf numFmtId="0" fontId="73" fillId="0" borderId="0" xfId="0" applyFont="1" applyAlignment="1">
      <alignment horizontal="center" vertical="center" wrapText="1"/>
    </xf>
    <xf numFmtId="0" fontId="72" fillId="0" borderId="0" xfId="0" applyFont="1" applyAlignment="1">
      <alignment horizontal="center" vertical="center" wrapText="1"/>
    </xf>
    <xf numFmtId="4" fontId="73" fillId="0" borderId="0" xfId="0" applyNumberFormat="1" applyFont="1" applyAlignment="1">
      <alignment horizontal="center" vertical="center" wrapText="1"/>
    </xf>
    <xf numFmtId="4" fontId="73" fillId="0" borderId="15" xfId="0" applyNumberFormat="1" applyFont="1" applyBorder="1" applyAlignment="1">
      <alignment horizontal="center" vertical="center" wrapText="1"/>
    </xf>
    <xf numFmtId="0" fontId="73" fillId="0" borderId="15" xfId="0" applyFont="1" applyBorder="1" applyAlignment="1">
      <alignment horizontal="center" vertical="center" wrapText="1"/>
    </xf>
    <xf numFmtId="0" fontId="0" fillId="8" borderId="38" xfId="0" applyFill="1" applyBorder="1" applyAlignment="1" applyProtection="1">
      <alignment horizontal="center"/>
      <protection locked="0"/>
    </xf>
    <xf numFmtId="0" fontId="0" fillId="8" borderId="39" xfId="0" applyFill="1" applyBorder="1" applyAlignment="1" applyProtection="1">
      <alignment horizontal="center"/>
      <protection locked="0"/>
    </xf>
    <xf numFmtId="0" fontId="3" fillId="0" borderId="0" xfId="0" applyFont="1" applyAlignment="1">
      <alignment horizontal="center"/>
    </xf>
    <xf numFmtId="0" fontId="3" fillId="0" borderId="25" xfId="0" applyFont="1" applyBorder="1" applyAlignment="1">
      <alignment horizontal="center"/>
    </xf>
    <xf numFmtId="0" fontId="11" fillId="0" borderId="0" xfId="0" applyFont="1"/>
    <xf numFmtId="0" fontId="2" fillId="24" borderId="7" xfId="0" applyFont="1" applyFill="1" applyBorder="1" applyAlignment="1">
      <alignment horizontal="center"/>
    </xf>
    <xf numFmtId="0" fontId="2" fillId="24" borderId="2" xfId="0" applyFont="1" applyFill="1" applyBorder="1" applyAlignment="1">
      <alignment horizontal="center"/>
    </xf>
    <xf numFmtId="0" fontId="2" fillId="24" borderId="6" xfId="0" applyFont="1" applyFill="1" applyBorder="1" applyAlignment="1">
      <alignment horizontal="center"/>
    </xf>
    <xf numFmtId="0" fontId="3" fillId="4" borderId="7" xfId="0" applyFont="1" applyFill="1" applyBorder="1" applyAlignment="1">
      <alignment horizontal="justify" vertical="center" wrapText="1"/>
    </xf>
    <xf numFmtId="0" fontId="3" fillId="4" borderId="2" xfId="0" applyFont="1" applyFill="1" applyBorder="1" applyAlignment="1">
      <alignment horizontal="justify" vertical="center" wrapText="1"/>
    </xf>
    <xf numFmtId="0" fontId="3" fillId="4" borderId="6" xfId="0" applyFont="1" applyFill="1" applyBorder="1" applyAlignment="1">
      <alignment horizontal="justify" vertical="center" wrapText="1"/>
    </xf>
    <xf numFmtId="0" fontId="37" fillId="11" borderId="1" xfId="0" applyFont="1" applyFill="1" applyBorder="1" applyAlignment="1">
      <alignment horizontal="justify" vertical="center"/>
    </xf>
    <xf numFmtId="0" fontId="37" fillId="11" borderId="1" xfId="0" applyFont="1" applyFill="1" applyBorder="1" applyAlignment="1">
      <alignment horizontal="justify" vertical="center" wrapText="1"/>
    </xf>
    <xf numFmtId="0" fontId="2" fillId="24" borderId="1" xfId="0" applyFont="1" applyFill="1" applyBorder="1" applyAlignment="1">
      <alignment horizontal="center"/>
    </xf>
    <xf numFmtId="0" fontId="11" fillId="0" borderId="0" xfId="0" applyFont="1" applyAlignment="1">
      <alignment horizontal="center" vertical="center" wrapText="1"/>
    </xf>
    <xf numFmtId="0" fontId="0" fillId="4" borderId="1" xfId="0" applyFill="1" applyBorder="1" applyAlignment="1">
      <alignment horizontal="justify" vertical="center" wrapText="1"/>
    </xf>
    <xf numFmtId="0" fontId="0" fillId="4" borderId="1" xfId="0" applyFill="1" applyBorder="1" applyAlignment="1">
      <alignment horizontal="justify" vertical="center"/>
    </xf>
    <xf numFmtId="164" fontId="4" fillId="4" borderId="7" xfId="0" applyNumberFormat="1" applyFont="1" applyFill="1" applyBorder="1" applyAlignment="1">
      <alignment horizontal="justify" vertical="center" wrapText="1"/>
    </xf>
    <xf numFmtId="164" fontId="4" fillId="4" borderId="2" xfId="0" applyNumberFormat="1" applyFont="1" applyFill="1" applyBorder="1" applyAlignment="1">
      <alignment horizontal="justify" vertical="center" wrapText="1"/>
    </xf>
    <xf numFmtId="164" fontId="4" fillId="4" borderId="6" xfId="0" applyNumberFormat="1" applyFont="1" applyFill="1" applyBorder="1" applyAlignment="1">
      <alignment horizontal="justify" vertical="center" wrapText="1"/>
    </xf>
    <xf numFmtId="0" fontId="3" fillId="4" borderId="1" xfId="0" applyFont="1" applyFill="1" applyBorder="1" applyAlignment="1">
      <alignment horizontal="justify" vertical="center"/>
    </xf>
    <xf numFmtId="0" fontId="11" fillId="4" borderId="1" xfId="0" applyFont="1" applyFill="1" applyBorder="1" applyAlignment="1">
      <alignment horizontal="justify" vertical="center"/>
    </xf>
    <xf numFmtId="0" fontId="0" fillId="0" borderId="0" xfId="0" applyAlignment="1">
      <alignment horizontal="center"/>
    </xf>
    <xf numFmtId="0" fontId="11" fillId="9" borderId="1" xfId="0" applyFont="1" applyFill="1" applyBorder="1" applyAlignment="1">
      <alignment horizontal="justify" vertical="center" wrapText="1"/>
    </xf>
    <xf numFmtId="0" fontId="11" fillId="9" borderId="1" xfId="0" applyFont="1" applyFill="1" applyBorder="1" applyAlignment="1">
      <alignment horizontal="justify" vertical="center"/>
    </xf>
    <xf numFmtId="0" fontId="11" fillId="13" borderId="1" xfId="0" applyFont="1" applyFill="1" applyBorder="1" applyAlignment="1">
      <alignment horizontal="justify" vertical="center"/>
    </xf>
    <xf numFmtId="0" fontId="22" fillId="0" borderId="1" xfId="4" applyFont="1" applyBorder="1" applyAlignment="1">
      <alignment horizontal="left"/>
    </xf>
    <xf numFmtId="0" fontId="22" fillId="0" borderId="1" xfId="4" applyFont="1" applyBorder="1" applyAlignment="1">
      <alignment horizontal="left" wrapText="1"/>
    </xf>
    <xf numFmtId="0" fontId="6" fillId="0" borderId="1" xfId="0" applyFont="1" applyBorder="1" applyAlignment="1">
      <alignment horizontal="justify" vertical="center" wrapText="1"/>
    </xf>
    <xf numFmtId="0" fontId="4" fillId="0" borderId="1" xfId="0" applyFont="1" applyBorder="1" applyAlignment="1">
      <alignment horizontal="justify" wrapText="1"/>
    </xf>
    <xf numFmtId="0" fontId="7" fillId="17" borderId="8" xfId="0" applyFont="1" applyFill="1" applyBorder="1" applyAlignment="1">
      <alignment horizontal="center"/>
    </xf>
    <xf numFmtId="0" fontId="3" fillId="13" borderId="1" xfId="0" applyFont="1" applyFill="1" applyBorder="1" applyAlignment="1">
      <alignment horizontal="justify" vertical="center" wrapText="1"/>
    </xf>
    <xf numFmtId="0" fontId="3" fillId="13" borderId="1" xfId="0" applyFont="1" applyFill="1" applyBorder="1" applyAlignment="1">
      <alignment horizontal="justify" vertical="center"/>
    </xf>
    <xf numFmtId="0" fontId="7" fillId="23" borderId="1" xfId="0" applyFont="1" applyFill="1" applyBorder="1" applyAlignment="1">
      <alignment horizontal="center" vertical="center"/>
    </xf>
    <xf numFmtId="0" fontId="6" fillId="0" borderId="1" xfId="0" applyFont="1" applyBorder="1" applyAlignment="1">
      <alignment horizontal="left" vertical="center" wrapText="1"/>
    </xf>
    <xf numFmtId="0" fontId="3" fillId="0" borderId="7" xfId="0" applyFont="1" applyBorder="1" applyAlignment="1">
      <alignment horizontal="center"/>
    </xf>
    <xf numFmtId="0" fontId="3" fillId="0" borderId="6" xfId="0" applyFont="1" applyBorder="1" applyAlignment="1">
      <alignment horizontal="center"/>
    </xf>
    <xf numFmtId="0" fontId="3" fillId="4" borderId="1" xfId="0" applyFont="1" applyFill="1" applyBorder="1" applyAlignment="1">
      <alignment horizontal="justify" vertical="center" wrapText="1"/>
    </xf>
    <xf numFmtId="0" fontId="14" fillId="0" borderId="1" xfId="0" applyFont="1" applyBorder="1" applyAlignment="1">
      <alignment horizontal="center"/>
    </xf>
    <xf numFmtId="0" fontId="0" fillId="10" borderId="1" xfId="0" applyFill="1" applyBorder="1" applyAlignment="1">
      <alignment horizontal="justify" vertical="center" wrapText="1"/>
    </xf>
    <xf numFmtId="0" fontId="0" fillId="10" borderId="1" xfId="0" applyFill="1" applyBorder="1" applyAlignment="1">
      <alignment horizontal="justify" vertical="center"/>
    </xf>
    <xf numFmtId="0" fontId="6" fillId="13" borderId="1" xfId="0" applyFont="1" applyFill="1" applyBorder="1" applyAlignment="1">
      <alignment horizontal="center" vertical="center" wrapText="1"/>
    </xf>
    <xf numFmtId="0" fontId="6" fillId="26" borderId="1" xfId="0" applyFont="1" applyFill="1" applyBorder="1" applyAlignment="1">
      <alignment horizontal="left" vertical="center" wrapText="1"/>
    </xf>
    <xf numFmtId="0" fontId="0" fillId="2" borderId="1" xfId="0" applyFill="1" applyBorder="1" applyAlignment="1">
      <alignment horizontal="center"/>
    </xf>
    <xf numFmtId="0" fontId="3" fillId="13" borderId="1" xfId="0" applyFont="1" applyFill="1" applyBorder="1" applyAlignment="1">
      <alignment horizontal="justify"/>
    </xf>
    <xf numFmtId="0" fontId="7" fillId="17" borderId="0" xfId="0" applyFont="1" applyFill="1" applyAlignment="1">
      <alignment horizontal="center"/>
    </xf>
    <xf numFmtId="0" fontId="65" fillId="9" borderId="7" xfId="0" applyFont="1" applyFill="1" applyBorder="1" applyAlignment="1">
      <alignment horizontal="justify" vertical="center" wrapText="1"/>
    </xf>
    <xf numFmtId="0" fontId="65" fillId="9" borderId="2" xfId="0" applyFont="1" applyFill="1" applyBorder="1" applyAlignment="1">
      <alignment horizontal="justify" vertical="center" wrapText="1"/>
    </xf>
    <xf numFmtId="0" fontId="65" fillId="9" borderId="6" xfId="0" applyFont="1" applyFill="1" applyBorder="1" applyAlignment="1">
      <alignment horizontal="justify" vertical="center" wrapText="1"/>
    </xf>
    <xf numFmtId="0" fontId="8" fillId="4" borderId="7" xfId="0" applyFont="1" applyFill="1" applyBorder="1" applyAlignment="1">
      <alignment horizontal="justify" vertical="center" wrapText="1"/>
    </xf>
    <xf numFmtId="0" fontId="8" fillId="4" borderId="2" xfId="0" applyFont="1" applyFill="1" applyBorder="1" applyAlignment="1">
      <alignment horizontal="justify" vertical="center" wrapText="1"/>
    </xf>
    <xf numFmtId="0" fontId="8" fillId="4" borderId="6" xfId="0" applyFont="1" applyFill="1" applyBorder="1" applyAlignment="1">
      <alignment horizontal="justify" vertical="center" wrapText="1"/>
    </xf>
    <xf numFmtId="0" fontId="0" fillId="8" borderId="1" xfId="0" applyFill="1" applyBorder="1" applyAlignment="1">
      <alignment horizontal="center"/>
    </xf>
    <xf numFmtId="0" fontId="9" fillId="4" borderId="1" xfId="0" applyFont="1" applyFill="1" applyBorder="1" applyAlignment="1">
      <alignment horizontal="justify" vertical="center"/>
    </xf>
    <xf numFmtId="0" fontId="8" fillId="4" borderId="1" xfId="0" applyFont="1" applyFill="1" applyBorder="1" applyAlignment="1">
      <alignment horizontal="justify" vertical="center" wrapText="1"/>
    </xf>
    <xf numFmtId="0" fontId="8" fillId="4" borderId="1" xfId="0" applyFont="1" applyFill="1" applyBorder="1" applyAlignment="1">
      <alignment horizontal="justify" wrapText="1"/>
    </xf>
    <xf numFmtId="0" fontId="8" fillId="4" borderId="1" xfId="0" applyFont="1" applyFill="1" applyBorder="1" applyAlignment="1">
      <alignment horizontal="justify"/>
    </xf>
    <xf numFmtId="0" fontId="3" fillId="0" borderId="3" xfId="0" applyFont="1" applyBorder="1" applyAlignment="1">
      <alignment horizontal="right" indent="1"/>
    </xf>
    <xf numFmtId="0" fontId="67" fillId="7" borderId="1" xfId="0" applyFont="1" applyFill="1" applyBorder="1" applyAlignment="1">
      <alignment horizontal="justify" vertical="center" wrapText="1"/>
    </xf>
    <xf numFmtId="0" fontId="67" fillId="7" borderId="1" xfId="0" applyFont="1" applyFill="1" applyBorder="1" applyAlignment="1">
      <alignment horizontal="justify" vertical="center"/>
    </xf>
    <xf numFmtId="0" fontId="3" fillId="0" borderId="0" xfId="0" applyFont="1" applyAlignment="1">
      <alignment horizontal="left"/>
    </xf>
    <xf numFmtId="0" fontId="3" fillId="0" borderId="1" xfId="0" applyFont="1" applyBorder="1" applyAlignment="1">
      <alignment horizontal="center"/>
    </xf>
    <xf numFmtId="0" fontId="3" fillId="9" borderId="1" xfId="0" applyFont="1" applyFill="1" applyBorder="1" applyAlignment="1">
      <alignment horizontal="justify" vertical="center" wrapText="1"/>
    </xf>
    <xf numFmtId="0" fontId="3" fillId="9" borderId="1" xfId="0" applyFont="1" applyFill="1" applyBorder="1" applyAlignment="1">
      <alignment horizontal="justify" vertical="center"/>
    </xf>
    <xf numFmtId="0" fontId="3" fillId="27" borderId="1" xfId="0" applyFont="1" applyFill="1" applyBorder="1" applyAlignment="1">
      <alignment horizontal="justify" vertical="center" wrapText="1"/>
    </xf>
    <xf numFmtId="0" fontId="3" fillId="27" borderId="1" xfId="0" applyFont="1" applyFill="1" applyBorder="1" applyAlignment="1">
      <alignment horizontal="justify" vertical="center"/>
    </xf>
    <xf numFmtId="0" fontId="0" fillId="9" borderId="1" xfId="0" applyFill="1" applyBorder="1" applyAlignment="1">
      <alignment horizontal="justify" vertical="center" wrapText="1"/>
    </xf>
    <xf numFmtId="0" fontId="6" fillId="30" borderId="1" xfId="0" applyFont="1" applyFill="1" applyBorder="1" applyAlignment="1">
      <alignment horizontal="left" vertical="center" wrapText="1"/>
    </xf>
    <xf numFmtId="0" fontId="3" fillId="8" borderId="1" xfId="0" applyFont="1" applyFill="1" applyBorder="1" applyAlignment="1">
      <alignment horizontal="center"/>
    </xf>
    <xf numFmtId="0" fontId="3" fillId="31" borderId="1" xfId="0" applyFont="1" applyFill="1" applyBorder="1" applyAlignment="1">
      <alignment horizontal="justify" vertical="center" wrapText="1"/>
    </xf>
    <xf numFmtId="0" fontId="3" fillId="31" borderId="1" xfId="0" applyFont="1" applyFill="1" applyBorder="1" applyAlignment="1">
      <alignment horizontal="justify" vertical="center"/>
    </xf>
    <xf numFmtId="164" fontId="6" fillId="0" borderId="7" xfId="0" applyNumberFormat="1" applyFont="1" applyBorder="1" applyAlignment="1">
      <alignment horizontal="justify" vertical="center" wrapText="1"/>
    </xf>
    <xf numFmtId="164" fontId="6" fillId="0" borderId="2" xfId="0" applyNumberFormat="1" applyFont="1" applyBorder="1" applyAlignment="1">
      <alignment horizontal="justify" vertical="center" wrapText="1"/>
    </xf>
    <xf numFmtId="164" fontId="6" fillId="0" borderId="6" xfId="0" applyNumberFormat="1" applyFont="1" applyBorder="1" applyAlignment="1">
      <alignment horizontal="justify" vertical="center" wrapText="1"/>
    </xf>
    <xf numFmtId="0" fontId="7" fillId="12" borderId="8" xfId="0" applyFont="1" applyFill="1" applyBorder="1" applyAlignment="1">
      <alignment horizontal="center"/>
    </xf>
    <xf numFmtId="164" fontId="4" fillId="0" borderId="7"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0" fontId="70" fillId="11" borderId="1" xfId="0" applyFont="1" applyFill="1" applyBorder="1" applyAlignment="1">
      <alignment horizontal="justify" vertical="center" wrapText="1"/>
    </xf>
    <xf numFmtId="0" fontId="70" fillId="11" borderId="1" xfId="0" applyFont="1" applyFill="1" applyBorder="1" applyAlignment="1">
      <alignment horizontal="justify" vertical="center"/>
    </xf>
    <xf numFmtId="0" fontId="12" fillId="2" borderId="7"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65" fillId="9" borderId="1" xfId="0" applyFont="1" applyFill="1" applyBorder="1" applyAlignment="1">
      <alignment horizontal="justify" vertical="center" wrapText="1"/>
    </xf>
    <xf numFmtId="0" fontId="65" fillId="9" borderId="1" xfId="0" applyFont="1" applyFill="1" applyBorder="1" applyAlignment="1">
      <alignment horizontal="justify" vertical="center"/>
    </xf>
    <xf numFmtId="0" fontId="70" fillId="11" borderId="1" xfId="0" applyFont="1" applyFill="1" applyBorder="1" applyAlignment="1">
      <alignment horizontal="justify" vertical="top" wrapText="1"/>
    </xf>
    <xf numFmtId="0" fontId="70" fillId="11" borderId="1" xfId="0" applyFont="1" applyFill="1" applyBorder="1" applyAlignment="1">
      <alignment horizontal="justify" vertical="top"/>
    </xf>
    <xf numFmtId="0" fontId="57" fillId="0" borderId="1" xfId="0" applyFont="1" applyBorder="1" applyAlignment="1">
      <alignment horizontal="center" vertical="center"/>
    </xf>
    <xf numFmtId="0" fontId="63" fillId="4" borderId="1" xfId="0" applyFont="1" applyFill="1" applyBorder="1" applyAlignment="1">
      <alignment horizontal="justify" vertical="center" wrapText="1"/>
    </xf>
    <xf numFmtId="0" fontId="63" fillId="4" borderId="1" xfId="0" applyFont="1" applyFill="1" applyBorder="1" applyAlignment="1">
      <alignment horizontal="justify" vertical="center"/>
    </xf>
    <xf numFmtId="0" fontId="62" fillId="0" borderId="5" xfId="0" applyFont="1" applyBorder="1" applyAlignment="1">
      <alignment horizontal="center" vertical="center" wrapText="1"/>
    </xf>
    <xf numFmtId="0" fontId="62" fillId="0" borderId="10" xfId="0" applyFont="1" applyBorder="1" applyAlignment="1">
      <alignment horizontal="center" vertical="center" wrapText="1"/>
    </xf>
    <xf numFmtId="164" fontId="61" fillId="0" borderId="5" xfId="0" applyNumberFormat="1" applyFont="1" applyBorder="1" applyAlignment="1">
      <alignment horizontal="center" vertical="center" wrapText="1"/>
    </xf>
    <xf numFmtId="164" fontId="61" fillId="0" borderId="10" xfId="0" applyNumberFormat="1" applyFont="1" applyBorder="1" applyAlignment="1">
      <alignment horizontal="center" vertical="center" wrapText="1"/>
    </xf>
    <xf numFmtId="164" fontId="57" fillId="0" borderId="7" xfId="0" applyNumberFormat="1" applyFont="1" applyBorder="1" applyAlignment="1">
      <alignment horizontal="center" vertical="center" wrapText="1"/>
    </xf>
    <xf numFmtId="164" fontId="57" fillId="0" borderId="6" xfId="0" applyNumberFormat="1" applyFont="1" applyBorder="1" applyAlignment="1">
      <alignment horizontal="center" vertical="center" wrapText="1"/>
    </xf>
    <xf numFmtId="164" fontId="61" fillId="0" borderId="1" xfId="0" applyNumberFormat="1" applyFont="1" applyBorder="1" applyAlignment="1">
      <alignment horizontal="center" vertical="center" wrapText="1"/>
    </xf>
    <xf numFmtId="0" fontId="62" fillId="0" borderId="1" xfId="0" applyFont="1" applyBorder="1" applyAlignment="1">
      <alignment horizontal="center" vertical="center" wrapText="1"/>
    </xf>
    <xf numFmtId="0" fontId="57" fillId="4" borderId="1" xfId="0" applyFont="1" applyFill="1" applyBorder="1" applyAlignment="1">
      <alignment horizontal="justify" vertical="center"/>
    </xf>
    <xf numFmtId="0" fontId="56" fillId="3" borderId="13" xfId="0" applyFont="1" applyFill="1" applyBorder="1" applyAlignment="1">
      <alignment horizontal="center"/>
    </xf>
    <xf numFmtId="0" fontId="56" fillId="3" borderId="24" xfId="0" applyFont="1" applyFill="1" applyBorder="1" applyAlignment="1">
      <alignment horizontal="center"/>
    </xf>
    <xf numFmtId="0" fontId="57" fillId="4" borderId="1" xfId="0" applyFont="1" applyFill="1" applyBorder="1" applyAlignment="1">
      <alignment horizontal="left"/>
    </xf>
    <xf numFmtId="0" fontId="12" fillId="6"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0" fillId="4" borderId="1" xfId="0" applyFill="1" applyBorder="1" applyAlignment="1">
      <alignment horizontal="justify" wrapText="1"/>
    </xf>
    <xf numFmtId="0" fontId="0" fillId="4" borderId="1" xfId="0" applyFill="1" applyBorder="1" applyAlignment="1">
      <alignment horizontal="justify"/>
    </xf>
    <xf numFmtId="0" fontId="0" fillId="0" borderId="1" xfId="0" applyBorder="1" applyAlignment="1">
      <alignment horizontal="justify" vertical="center" wrapText="1"/>
    </xf>
    <xf numFmtId="0" fontId="0" fillId="0" borderId="1" xfId="0" applyBorder="1" applyAlignment="1">
      <alignment horizontal="justify" vertical="center"/>
    </xf>
    <xf numFmtId="0" fontId="4" fillId="6" borderId="1" xfId="0" applyFont="1" applyFill="1" applyBorder="1" applyAlignment="1">
      <alignment horizontal="left" vertical="center" wrapText="1"/>
    </xf>
    <xf numFmtId="0" fontId="12" fillId="6" borderId="7" xfId="0" applyFont="1" applyFill="1" applyBorder="1" applyAlignment="1">
      <alignment horizontal="left" vertical="center" wrapText="1"/>
    </xf>
    <xf numFmtId="0" fontId="12" fillId="6" borderId="2" xfId="0" applyFont="1" applyFill="1" applyBorder="1" applyAlignment="1">
      <alignment horizontal="left" vertical="center" wrapText="1"/>
    </xf>
    <xf numFmtId="0" fontId="12" fillId="6" borderId="6" xfId="0" applyFont="1" applyFill="1" applyBorder="1" applyAlignment="1">
      <alignment horizontal="left" vertical="center" wrapText="1"/>
    </xf>
    <xf numFmtId="0" fontId="0" fillId="4" borderId="7" xfId="0" applyFill="1" applyBorder="1" applyAlignment="1">
      <alignment horizontal="justify" vertical="center" wrapText="1"/>
    </xf>
    <xf numFmtId="0" fontId="0" fillId="4" borderId="2" xfId="0" applyFill="1" applyBorder="1" applyAlignment="1">
      <alignment horizontal="justify" vertical="center" wrapText="1"/>
    </xf>
    <xf numFmtId="0" fontId="0" fillId="4" borderId="6" xfId="0" applyFill="1" applyBorder="1" applyAlignment="1">
      <alignment horizontal="justify" vertical="center" wrapText="1"/>
    </xf>
    <xf numFmtId="164" fontId="53" fillId="4" borderId="1" xfId="0" applyNumberFormat="1" applyFont="1" applyFill="1" applyBorder="1" applyAlignment="1">
      <alignment horizontal="justify" vertical="center" wrapText="1"/>
    </xf>
    <xf numFmtId="0" fontId="0" fillId="0" borderId="0" xfId="0" applyAlignment="1">
      <alignment horizontal="justify" vertical="center" wrapText="1"/>
    </xf>
    <xf numFmtId="0" fontId="0" fillId="0" borderId="1" xfId="0" applyBorder="1" applyAlignment="1">
      <alignment horizontal="justify" wrapText="1"/>
    </xf>
    <xf numFmtId="0" fontId="12" fillId="6" borderId="1" xfId="0" applyFont="1" applyFill="1" applyBorder="1" applyAlignment="1">
      <alignment vertical="center" wrapText="1"/>
    </xf>
    <xf numFmtId="0" fontId="12" fillId="6" borderId="1" xfId="0" applyFont="1" applyFill="1" applyBorder="1" applyAlignment="1">
      <alignment horizontal="left" vertical="center" wrapText="1"/>
    </xf>
    <xf numFmtId="0" fontId="2" fillId="5" borderId="0" xfId="0" applyFont="1" applyFill="1" applyAlignment="1">
      <alignment horizontal="center" vertical="center" wrapText="1"/>
    </xf>
    <xf numFmtId="0" fontId="2" fillId="5" borderId="0" xfId="0" applyFont="1" applyFill="1" applyAlignment="1">
      <alignment horizontal="center" wrapText="1"/>
    </xf>
    <xf numFmtId="0" fontId="12" fillId="6" borderId="5" xfId="0" applyFont="1" applyFill="1" applyBorder="1" applyAlignment="1">
      <alignment horizontal="left" vertical="center" wrapText="1"/>
    </xf>
    <xf numFmtId="168" fontId="0" fillId="19" borderId="5" xfId="0" applyNumberFormat="1" applyFill="1" applyBorder="1" applyAlignment="1">
      <alignment horizontal="center"/>
    </xf>
    <xf numFmtId="168" fontId="0" fillId="19" borderId="19" xfId="0" applyNumberFormat="1" applyFill="1" applyBorder="1" applyAlignment="1">
      <alignment horizontal="center"/>
    </xf>
    <xf numFmtId="168" fontId="0" fillId="19" borderId="10" xfId="0" applyNumberFormat="1" applyFill="1" applyBorder="1" applyAlignment="1">
      <alignment horizontal="center"/>
    </xf>
    <xf numFmtId="0" fontId="8" fillId="4" borderId="1" xfId="0" applyFont="1" applyFill="1" applyBorder="1" applyAlignment="1">
      <alignment horizontal="justify" vertical="center"/>
    </xf>
    <xf numFmtId="0" fontId="24" fillId="0" borderId="0" xfId="0" applyFont="1" applyAlignment="1">
      <alignment horizontal="right"/>
    </xf>
    <xf numFmtId="0" fontId="11" fillId="0" borderId="0" xfId="0" applyFont="1" applyAlignment="1">
      <alignment horizontal="justify" wrapText="1"/>
    </xf>
    <xf numFmtId="0" fontId="49" fillId="0" borderId="0" xfId="0" applyFont="1"/>
    <xf numFmtId="0" fontId="0" fillId="0" borderId="0" xfId="0"/>
    <xf numFmtId="0" fontId="30" fillId="4" borderId="1" xfId="0" applyFont="1" applyFill="1" applyBorder="1" applyAlignment="1">
      <alignment horizontal="left" vertical="center"/>
    </xf>
    <xf numFmtId="0" fontId="25" fillId="0" borderId="1" xfId="0" applyFont="1" applyBorder="1" applyAlignment="1">
      <alignment horizontal="justify" vertical="center" wrapText="1"/>
    </xf>
    <xf numFmtId="0" fontId="25" fillId="0" borderId="1" xfId="0" applyFont="1" applyBorder="1" applyAlignment="1">
      <alignment horizontal="justify" vertical="center"/>
    </xf>
    <xf numFmtId="0" fontId="7" fillId="20" borderId="0" xfId="0" applyFont="1" applyFill="1" applyAlignment="1">
      <alignment horizontal="center"/>
    </xf>
    <xf numFmtId="0" fontId="7" fillId="21" borderId="0" xfId="0" applyFont="1" applyFill="1" applyAlignment="1">
      <alignment horizontal="center"/>
    </xf>
    <xf numFmtId="0" fontId="25" fillId="0" borderId="1" xfId="0" applyFont="1" applyBorder="1" applyAlignment="1">
      <alignment horizontal="justify" wrapText="1"/>
    </xf>
    <xf numFmtId="0" fontId="25" fillId="0" borderId="1" xfId="0" applyFont="1" applyBorder="1" applyAlignment="1">
      <alignment horizontal="justify"/>
    </xf>
    <xf numFmtId="0" fontId="4" fillId="0" borderId="1" xfId="0" applyFont="1" applyBorder="1" applyAlignment="1">
      <alignment horizontal="left" vertical="center" wrapText="1"/>
    </xf>
    <xf numFmtId="0" fontId="30" fillId="4" borderId="9" xfId="0" applyFont="1" applyFill="1" applyBorder="1" applyAlignment="1">
      <alignment horizontal="left" vertical="center"/>
    </xf>
    <xf numFmtId="0" fontId="30" fillId="4" borderId="20" xfId="0" applyFont="1" applyFill="1" applyBorder="1" applyAlignment="1">
      <alignment horizontal="left" vertical="center"/>
    </xf>
    <xf numFmtId="0" fontId="30" fillId="4" borderId="4" xfId="0" applyFont="1" applyFill="1" applyBorder="1" applyAlignment="1">
      <alignment horizontal="left" vertical="center"/>
    </xf>
    <xf numFmtId="0" fontId="30" fillId="4" borderId="21" xfId="0" applyFont="1" applyFill="1" applyBorder="1" applyAlignment="1">
      <alignment horizontal="left" vertical="center"/>
    </xf>
    <xf numFmtId="0" fontId="30" fillId="4" borderId="22" xfId="0" applyFont="1" applyFill="1" applyBorder="1" applyAlignment="1">
      <alignment horizontal="left" vertical="center"/>
    </xf>
    <xf numFmtId="0" fontId="30" fillId="4" borderId="18" xfId="0" applyFont="1" applyFill="1" applyBorder="1" applyAlignment="1">
      <alignment horizontal="left" vertical="center"/>
    </xf>
    <xf numFmtId="166" fontId="4" fillId="4" borderId="7" xfId="0" applyNumberFormat="1" applyFont="1" applyFill="1" applyBorder="1" applyAlignment="1">
      <alignment horizontal="justify" vertical="center" wrapText="1"/>
    </xf>
    <xf numFmtId="166" fontId="4" fillId="4" borderId="2" xfId="0" applyNumberFormat="1" applyFont="1" applyFill="1" applyBorder="1" applyAlignment="1">
      <alignment horizontal="justify" vertical="center" wrapText="1"/>
    </xf>
    <xf numFmtId="166" fontId="4" fillId="4" borderId="6" xfId="0" applyNumberFormat="1" applyFont="1" applyFill="1" applyBorder="1" applyAlignment="1">
      <alignment horizontal="justify" vertical="center" wrapText="1"/>
    </xf>
    <xf numFmtId="166" fontId="4" fillId="4" borderId="1" xfId="0" applyNumberFormat="1" applyFont="1" applyFill="1" applyBorder="1" applyAlignment="1">
      <alignment horizontal="justify" vertical="center" wrapText="1"/>
    </xf>
    <xf numFmtId="0" fontId="30" fillId="4" borderId="7" xfId="0" applyFont="1" applyFill="1" applyBorder="1" applyAlignment="1">
      <alignment horizontal="left" vertical="center"/>
    </xf>
    <xf numFmtId="0" fontId="30" fillId="4" borderId="6" xfId="0" applyFont="1" applyFill="1" applyBorder="1" applyAlignment="1">
      <alignment horizontal="left" vertical="center"/>
    </xf>
    <xf numFmtId="0" fontId="25" fillId="0" borderId="7" xfId="0" applyFont="1" applyBorder="1" applyAlignment="1">
      <alignment horizontal="justify" vertical="center" wrapText="1"/>
    </xf>
    <xf numFmtId="0" fontId="25" fillId="0" borderId="2" xfId="0" applyFont="1" applyBorder="1" applyAlignment="1">
      <alignment horizontal="justify" vertical="center" wrapText="1"/>
    </xf>
    <xf numFmtId="0" fontId="25" fillId="0" borderId="6" xfId="0" applyFont="1" applyBorder="1" applyAlignment="1">
      <alignment horizontal="justify" vertical="center" wrapText="1"/>
    </xf>
    <xf numFmtId="0" fontId="4" fillId="0" borderId="19" xfId="0" applyFont="1" applyBorder="1" applyAlignment="1">
      <alignment horizontal="left" vertical="center" wrapText="1"/>
    </xf>
    <xf numFmtId="0" fontId="0" fillId="0" borderId="1" xfId="0" applyBorder="1" applyAlignment="1">
      <alignment horizontal="left"/>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0" fillId="0" borderId="2" xfId="0" applyBorder="1" applyAlignment="1">
      <alignment horizontal="justify" vertical="center" wrapText="1"/>
    </xf>
    <xf numFmtId="0" fontId="0" fillId="0" borderId="2" xfId="0" applyBorder="1" applyAlignment="1">
      <alignment horizontal="justify" vertical="center"/>
    </xf>
    <xf numFmtId="0" fontId="0" fillId="0" borderId="6" xfId="0" applyBorder="1" applyAlignment="1">
      <alignment horizontal="justify" vertical="center"/>
    </xf>
    <xf numFmtId="0" fontId="25" fillId="0" borderId="2" xfId="0" applyFont="1" applyBorder="1" applyAlignment="1">
      <alignment horizontal="justify" vertical="center"/>
    </xf>
    <xf numFmtId="0" fontId="25" fillId="0" borderId="6" xfId="0" applyFont="1" applyBorder="1" applyAlignment="1">
      <alignment horizontal="justify"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5" fillId="4" borderId="7" xfId="0" applyFont="1" applyFill="1" applyBorder="1" applyAlignment="1">
      <alignment horizontal="left" vertical="center"/>
    </xf>
    <xf numFmtId="0" fontId="15" fillId="4" borderId="6" xfId="0" applyFont="1" applyFill="1" applyBorder="1" applyAlignment="1">
      <alignment horizontal="left" vertical="center"/>
    </xf>
    <xf numFmtId="0" fontId="0" fillId="0" borderId="7" xfId="0" applyBorder="1" applyAlignment="1">
      <alignment horizontal="justify" vertical="center" wrapText="1"/>
    </xf>
    <xf numFmtId="0" fontId="15" fillId="4" borderId="1" xfId="0" applyFont="1" applyFill="1" applyBorder="1" applyAlignment="1">
      <alignment horizontal="left" vertical="center"/>
    </xf>
    <xf numFmtId="0" fontId="0" fillId="0" borderId="1" xfId="0" applyBorder="1" applyAlignment="1">
      <alignment horizontal="justify"/>
    </xf>
    <xf numFmtId="0" fontId="15" fillId="4" borderId="9" xfId="0" applyFont="1" applyFill="1" applyBorder="1" applyAlignment="1">
      <alignment horizontal="left" vertical="center"/>
    </xf>
    <xf numFmtId="0" fontId="15" fillId="4" borderId="20" xfId="0" applyFont="1" applyFill="1" applyBorder="1" applyAlignment="1">
      <alignment horizontal="left" vertical="center"/>
    </xf>
    <xf numFmtId="0" fontId="15" fillId="4" borderId="4" xfId="0" applyFont="1" applyFill="1" applyBorder="1" applyAlignment="1">
      <alignment horizontal="left" vertical="center"/>
    </xf>
    <xf numFmtId="0" fontId="15" fillId="4" borderId="21" xfId="0" applyFont="1" applyFill="1" applyBorder="1" applyAlignment="1">
      <alignment horizontal="left" vertical="center"/>
    </xf>
    <xf numFmtId="0" fontId="15" fillId="4" borderId="22" xfId="0" applyFont="1" applyFill="1" applyBorder="1" applyAlignment="1">
      <alignment horizontal="left" vertical="center"/>
    </xf>
    <xf numFmtId="0" fontId="15" fillId="4" borderId="18" xfId="0" applyFont="1" applyFill="1" applyBorder="1" applyAlignment="1">
      <alignment horizontal="left" vertical="center"/>
    </xf>
    <xf numFmtId="0" fontId="0" fillId="4" borderId="1" xfId="0" applyFill="1" applyBorder="1" applyAlignment="1">
      <alignment horizontal="center" vertical="center" wrapText="1"/>
    </xf>
    <xf numFmtId="0" fontId="22" fillId="4" borderId="7" xfId="4" applyFont="1" applyFill="1" applyBorder="1" applyAlignment="1">
      <alignment horizontal="left" vertical="center"/>
    </xf>
    <xf numFmtId="0" fontId="22" fillId="4" borderId="6" xfId="4" applyFont="1" applyFill="1" applyBorder="1" applyAlignment="1">
      <alignment horizontal="left" vertical="center"/>
    </xf>
    <xf numFmtId="0" fontId="0" fillId="0" borderId="7" xfId="0" applyBorder="1" applyAlignment="1">
      <alignment horizontal="justify" wrapText="1"/>
    </xf>
    <xf numFmtId="0" fontId="0" fillId="0" borderId="2" xfId="0" applyBorder="1" applyAlignment="1">
      <alignment horizontal="justify"/>
    </xf>
    <xf numFmtId="0" fontId="0" fillId="0" borderId="6" xfId="0" applyBorder="1" applyAlignment="1">
      <alignment horizontal="justify"/>
    </xf>
    <xf numFmtId="0" fontId="42" fillId="13" borderId="33" xfId="0" applyFont="1" applyFill="1" applyBorder="1" applyAlignment="1">
      <alignment horizontal="center" vertical="center" wrapText="1" readingOrder="1"/>
    </xf>
    <xf numFmtId="0" fontId="42" fillId="13" borderId="34" xfId="0" applyFont="1" applyFill="1" applyBorder="1" applyAlignment="1">
      <alignment horizontal="center" vertical="center" wrapText="1" readingOrder="1"/>
    </xf>
    <xf numFmtId="0" fontId="12" fillId="0" borderId="0" xfId="0" applyFont="1" applyAlignment="1">
      <alignment horizontal="center" vertical="center"/>
    </xf>
    <xf numFmtId="0" fontId="19" fillId="0" borderId="0" xfId="0" applyFont="1" applyAlignment="1">
      <alignment horizontal="center" vertical="center"/>
    </xf>
    <xf numFmtId="4" fontId="19" fillId="0" borderId="0" xfId="0" applyNumberFormat="1" applyFont="1" applyAlignment="1">
      <alignment horizontal="center" vertical="center"/>
    </xf>
    <xf numFmtId="0" fontId="7" fillId="32" borderId="7" xfId="0" applyFont="1" applyFill="1" applyBorder="1" applyAlignment="1">
      <alignment horizontal="left"/>
    </xf>
    <xf numFmtId="0" fontId="7" fillId="32" borderId="2" xfId="0" applyFont="1" applyFill="1" applyBorder="1" applyAlignment="1">
      <alignment horizontal="left"/>
    </xf>
    <xf numFmtId="0" fontId="7" fillId="32" borderId="6" xfId="0" applyFont="1" applyFill="1" applyBorder="1" applyAlignment="1">
      <alignment horizontal="left"/>
    </xf>
    <xf numFmtId="0" fontId="3" fillId="8" borderId="7" xfId="0" applyFont="1" applyFill="1" applyBorder="1" applyAlignment="1">
      <alignment horizontal="center"/>
    </xf>
    <xf numFmtId="0" fontId="3" fillId="8" borderId="6" xfId="0" applyFont="1" applyFill="1" applyBorder="1" applyAlignment="1">
      <alignment horizontal="center"/>
    </xf>
    <xf numFmtId="0" fontId="19" fillId="0" borderId="0" xfId="0" applyFont="1"/>
    <xf numFmtId="0" fontId="3" fillId="3" borderId="1" xfId="0" applyFont="1" applyFill="1" applyBorder="1"/>
    <xf numFmtId="0" fontId="3" fillId="0" borderId="12" xfId="0" applyFont="1" applyBorder="1" applyAlignment="1">
      <alignment horizontal="left"/>
    </xf>
    <xf numFmtId="0" fontId="2" fillId="5" borderId="5"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0" fillId="0" borderId="32" xfId="0" applyFont="1" applyBorder="1" applyAlignment="1">
      <alignment horizontal="justify" vertical="center"/>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2" borderId="7" xfId="0" applyFont="1" applyFill="1" applyBorder="1" applyAlignment="1">
      <alignment horizontal="center"/>
    </xf>
    <xf numFmtId="0" fontId="3" fillId="2" borderId="6" xfId="0" applyFont="1" applyFill="1" applyBorder="1" applyAlignment="1">
      <alignment horizontal="center"/>
    </xf>
  </cellXfs>
  <cellStyles count="6">
    <cellStyle name="currency" xfId="2" xr:uid="{9AB03076-35E8-4968-8537-5D05647610FB}"/>
    <cellStyle name="Hipervínculo" xfId="4" builtinId="8"/>
    <cellStyle name="Normal" xfId="0" builtinId="0"/>
    <cellStyle name="Normal 2 2" xfId="5" xr:uid="{C644F266-142D-4624-A3C7-BFC59B5D8894}"/>
    <cellStyle name="percent" xfId="3" xr:uid="{BD79E7F8-EB94-4FAE-BE93-AE94D8F90D89}"/>
    <cellStyle name="Porcentaje" xfId="1" builtinId="5"/>
  </cellStyles>
  <dxfs count="28">
    <dxf>
      <numFmt numFmtId="4" formatCode="#,##0.00"/>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numFmt numFmtId="4" formatCode="#,##0.00"/>
      <fill>
        <patternFill>
          <bgColor theme="9" tint="0.79998168889431442"/>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ont>
        <color theme="1"/>
      </font>
    </dxf>
    <dxf>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ont>
        <color theme="1"/>
      </font>
    </dxf>
    <dxf>
      <font>
        <color theme="1"/>
      </font>
    </dxf>
    <dxf>
      <font>
        <color theme="1"/>
      </font>
    </dxf>
    <dxf>
      <font>
        <color theme="1"/>
      </font>
    </dxf>
    <dxf>
      <font>
        <color theme="1"/>
      </font>
    </dxf>
    <dxf>
      <font>
        <color rgb="FF9C0006"/>
      </font>
      <fill>
        <patternFill>
          <bgColor rgb="FFFFC7CE"/>
        </patternFill>
      </fill>
    </dxf>
    <dxf>
      <font>
        <color theme="1"/>
      </font>
    </dxf>
    <dxf>
      <font>
        <color theme="1"/>
      </font>
    </dxf>
    <dxf>
      <font>
        <color theme="1"/>
      </font>
    </dxf>
    <dxf>
      <font>
        <color theme="1"/>
      </font>
    </dxf>
    <dxf>
      <font>
        <color theme="1"/>
      </font>
    </dxf>
    <dxf>
      <font>
        <color theme="1"/>
      </font>
    </dxf>
    <dxf>
      <font>
        <color theme="1"/>
      </font>
    </dxf>
    <dxf>
      <numFmt numFmtId="4" formatCode="#,##0.00"/>
    </dxf>
    <dxf>
      <numFmt numFmtId="0" formatCode="General"/>
    </dxf>
    <dxf>
      <numFmt numFmtId="4" formatCode="#,##0.00"/>
    </dxf>
    <dxf>
      <font>
        <color theme="1"/>
      </font>
    </dxf>
    <dxf>
      <font>
        <color theme="1"/>
      </font>
    </dxf>
    <dxf>
      <font>
        <color theme="1"/>
      </font>
    </dxf>
    <dxf>
      <font>
        <color theme="1"/>
      </font>
    </dxf>
    <dxf>
      <font>
        <color theme="1"/>
      </font>
    </dxf>
  </dxfs>
  <tableStyles count="0" defaultTableStyle="TableStyleMedium2" defaultPivotStyle="PivotStyleLight16"/>
  <colors>
    <mruColors>
      <color rgb="FF99FF66"/>
      <color rgb="FF99FF33"/>
      <color rgb="FF33CC33"/>
      <color rgb="FFFFFFCC"/>
      <color rgb="FF0033CC"/>
      <color rgb="FF66FFFF"/>
      <color rgb="FF99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png"/><Relationship Id="rId1" Type="http://schemas.openxmlformats.org/officeDocument/2006/relationships/image" Target="../media/image8.jpg"/></Relationships>
</file>

<file path=xl/drawings/_rels/drawing10.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_rels/drawing11.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_rels/drawing12.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_rels/drawing13.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_rels/drawing14.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_rels/drawing15.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_rels/drawing3.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_rels/drawing4.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jpg"/><Relationship Id="rId1" Type="http://schemas.openxmlformats.org/officeDocument/2006/relationships/hyperlink" Target="#MENU!C7"/></Relationships>
</file>

<file path=xl/drawings/_rels/drawing6.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_rels/drawing7.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_rels/drawing8.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_rels/drawing9.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hyperlink" Target="#MENU!C7"/></Relationships>
</file>

<file path=xl/drawings/drawing1.xml><?xml version="1.0" encoding="utf-8"?>
<xdr:wsDr xmlns:xdr="http://schemas.openxmlformats.org/drawingml/2006/spreadsheetDrawing" xmlns:a="http://schemas.openxmlformats.org/drawingml/2006/main">
  <xdr:twoCellAnchor editAs="oneCell">
    <xdr:from>
      <xdr:col>0</xdr:col>
      <xdr:colOff>251113</xdr:colOff>
      <xdr:row>2</xdr:row>
      <xdr:rowOff>86590</xdr:rowOff>
    </xdr:from>
    <xdr:to>
      <xdr:col>10</xdr:col>
      <xdr:colOff>204356</xdr:colOff>
      <xdr:row>28</xdr:row>
      <xdr:rowOff>38100</xdr:rowOff>
    </xdr:to>
    <xdr:pic>
      <xdr:nvPicPr>
        <xdr:cNvPr id="4" name="Imagen 3">
          <a:extLst>
            <a:ext uri="{FF2B5EF4-FFF2-40B4-BE49-F238E27FC236}">
              <a16:creationId xmlns:a16="http://schemas.microsoft.com/office/drawing/2014/main" id="{D7962E4D-397A-D8FA-ED74-F6787E7800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1113" y="484908"/>
          <a:ext cx="7798379" cy="5198919"/>
        </a:xfrm>
        <a:prstGeom prst="rect">
          <a:avLst/>
        </a:prstGeom>
      </xdr:spPr>
    </xdr:pic>
    <xdr:clientData/>
  </xdr:twoCellAnchor>
  <xdr:twoCellAnchor editAs="oneCell">
    <xdr:from>
      <xdr:col>1</xdr:col>
      <xdr:colOff>0</xdr:colOff>
      <xdr:row>2</xdr:row>
      <xdr:rowOff>147204</xdr:rowOff>
    </xdr:from>
    <xdr:to>
      <xdr:col>2</xdr:col>
      <xdr:colOff>434961</xdr:colOff>
      <xdr:row>8</xdr:row>
      <xdr:rowOff>43294</xdr:rowOff>
    </xdr:to>
    <xdr:pic>
      <xdr:nvPicPr>
        <xdr:cNvPr id="2" name="Imagen 1">
          <a:extLst>
            <a:ext uri="{FF2B5EF4-FFF2-40B4-BE49-F238E27FC236}">
              <a16:creationId xmlns:a16="http://schemas.microsoft.com/office/drawing/2014/main" id="{DBBB2C61-4E39-0407-7C04-E2FA7BF873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7705" y="528204"/>
          <a:ext cx="1196961" cy="1333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225137</xdr:colOff>
      <xdr:row>41</xdr:row>
      <xdr:rowOff>84464</xdr:rowOff>
    </xdr:from>
    <xdr:to>
      <xdr:col>1</xdr:col>
      <xdr:colOff>510886</xdr:colOff>
      <xdr:row>45</xdr:row>
      <xdr:rowOff>172924</xdr:rowOff>
    </xdr:to>
    <xdr:pic>
      <xdr:nvPicPr>
        <xdr:cNvPr id="16" name="Imagen 15" descr="Lindo Perro Personaje Dibujos Animados Sentado Ilustración Vector de stock  por ©blueringmedia 658391462">
          <a:extLst>
            <a:ext uri="{FF2B5EF4-FFF2-40B4-BE49-F238E27FC236}">
              <a16:creationId xmlns:a16="http://schemas.microsoft.com/office/drawing/2014/main" id="{C954FFDB-DE07-6784-DE74-9ACE4E67FB28}"/>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25137" y="8189373"/>
          <a:ext cx="623454" cy="850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822614</xdr:colOff>
      <xdr:row>26</xdr:row>
      <xdr:rowOff>17319</xdr:rowOff>
    </xdr:from>
    <xdr:to>
      <xdr:col>10</xdr:col>
      <xdr:colOff>77932</xdr:colOff>
      <xdr:row>27</xdr:row>
      <xdr:rowOff>77932</xdr:rowOff>
    </xdr:to>
    <xdr:sp macro="" textlink="">
      <xdr:nvSpPr>
        <xdr:cNvPr id="5" name="CuadroTexto 4">
          <a:extLst>
            <a:ext uri="{FF2B5EF4-FFF2-40B4-BE49-F238E27FC236}">
              <a16:creationId xmlns:a16="http://schemas.microsoft.com/office/drawing/2014/main" id="{16BEEE89-6B10-4688-0992-EBBC8EC68840}"/>
            </a:ext>
          </a:extLst>
        </xdr:cNvPr>
        <xdr:cNvSpPr txBox="1"/>
      </xdr:nvSpPr>
      <xdr:spPr>
        <a:xfrm>
          <a:off x="4372841" y="5282046"/>
          <a:ext cx="3550227" cy="2511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Elaborado</a:t>
          </a:r>
          <a:r>
            <a:rPr lang="es-MX" sz="1100" baseline="0"/>
            <a:t> por: C.P. Claudia Mendoza / C.P. Alberto Monroy</a:t>
          </a:r>
          <a:endParaRPr lang="es-MX"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190500</xdr:colOff>
      <xdr:row>0</xdr:row>
      <xdr:rowOff>85725</xdr:rowOff>
    </xdr:from>
    <xdr:to>
      <xdr:col>3</xdr:col>
      <xdr:colOff>1104900</xdr:colOff>
      <xdr:row>1</xdr:row>
      <xdr:rowOff>114300</xdr:rowOff>
    </xdr:to>
    <xdr:pic>
      <xdr:nvPicPr>
        <xdr:cNvPr id="2" name="Imagen 1">
          <a:hlinkClick xmlns:r="http://schemas.openxmlformats.org/officeDocument/2006/relationships" r:id="rId1"/>
          <a:extLst>
            <a:ext uri="{FF2B5EF4-FFF2-40B4-BE49-F238E27FC236}">
              <a16:creationId xmlns:a16="http://schemas.microsoft.com/office/drawing/2014/main" id="{7F812975-2E6D-4040-A53A-990FEA96F13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34000" y="85725"/>
          <a:ext cx="914400" cy="4095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722312</xdr:colOff>
      <xdr:row>0</xdr:row>
      <xdr:rowOff>87312</xdr:rowOff>
    </xdr:from>
    <xdr:to>
      <xdr:col>4</xdr:col>
      <xdr:colOff>1636712</xdr:colOff>
      <xdr:row>0</xdr:row>
      <xdr:rowOff>496887</xdr:rowOff>
    </xdr:to>
    <xdr:pic>
      <xdr:nvPicPr>
        <xdr:cNvPr id="2" name="Imagen 1">
          <a:hlinkClick xmlns:r="http://schemas.openxmlformats.org/officeDocument/2006/relationships" r:id="rId1"/>
          <a:extLst>
            <a:ext uri="{FF2B5EF4-FFF2-40B4-BE49-F238E27FC236}">
              <a16:creationId xmlns:a16="http://schemas.microsoft.com/office/drawing/2014/main" id="{2B73AAC3-E600-46A4-8142-323B4B2D355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64062" y="87312"/>
          <a:ext cx="914400" cy="4095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247650</xdr:colOff>
      <xdr:row>0</xdr:row>
      <xdr:rowOff>85725</xdr:rowOff>
    </xdr:from>
    <xdr:to>
      <xdr:col>5</xdr:col>
      <xdr:colOff>1162050</xdr:colOff>
      <xdr:row>2</xdr:row>
      <xdr:rowOff>114300</xdr:rowOff>
    </xdr:to>
    <xdr:pic>
      <xdr:nvPicPr>
        <xdr:cNvPr id="2" name="Imagen 1">
          <a:hlinkClick xmlns:r="http://schemas.openxmlformats.org/officeDocument/2006/relationships" r:id="rId1"/>
          <a:extLst>
            <a:ext uri="{FF2B5EF4-FFF2-40B4-BE49-F238E27FC236}">
              <a16:creationId xmlns:a16="http://schemas.microsoft.com/office/drawing/2014/main" id="{126B465A-9937-4A0C-AF89-85F9F316FBE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91200" y="85725"/>
          <a:ext cx="914400" cy="4095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1047750</xdr:colOff>
      <xdr:row>0</xdr:row>
      <xdr:rowOff>119063</xdr:rowOff>
    </xdr:from>
    <xdr:to>
      <xdr:col>3</xdr:col>
      <xdr:colOff>1962150</xdr:colOff>
      <xdr:row>2</xdr:row>
      <xdr:rowOff>147638</xdr:rowOff>
    </xdr:to>
    <xdr:pic>
      <xdr:nvPicPr>
        <xdr:cNvPr id="3" name="Imagen 2">
          <a:hlinkClick xmlns:r="http://schemas.openxmlformats.org/officeDocument/2006/relationships" r:id="rId1"/>
          <a:extLst>
            <a:ext uri="{FF2B5EF4-FFF2-40B4-BE49-F238E27FC236}">
              <a16:creationId xmlns:a16="http://schemas.microsoft.com/office/drawing/2014/main" id="{24841B3A-570F-45B0-BBC4-0F9B4CD9CA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8625" y="119063"/>
          <a:ext cx="914400" cy="4095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981808</xdr:colOff>
      <xdr:row>0</xdr:row>
      <xdr:rowOff>80596</xdr:rowOff>
    </xdr:from>
    <xdr:to>
      <xdr:col>6</xdr:col>
      <xdr:colOff>86458</xdr:colOff>
      <xdr:row>2</xdr:row>
      <xdr:rowOff>109171</xdr:rowOff>
    </xdr:to>
    <xdr:pic>
      <xdr:nvPicPr>
        <xdr:cNvPr id="2" name="Imagen 1">
          <a:hlinkClick xmlns:r="http://schemas.openxmlformats.org/officeDocument/2006/relationships" r:id="rId1"/>
          <a:extLst>
            <a:ext uri="{FF2B5EF4-FFF2-40B4-BE49-F238E27FC236}">
              <a16:creationId xmlns:a16="http://schemas.microsoft.com/office/drawing/2014/main" id="{75B875E9-2BD8-4F55-AC33-C2BE19EF7D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29808" y="80596"/>
          <a:ext cx="914400" cy="4095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66675</xdr:colOff>
      <xdr:row>2</xdr:row>
      <xdr:rowOff>133350</xdr:rowOff>
    </xdr:from>
    <xdr:to>
      <xdr:col>1</xdr:col>
      <xdr:colOff>981075</xdr:colOff>
      <xdr:row>2</xdr:row>
      <xdr:rowOff>542925</xdr:rowOff>
    </xdr:to>
    <xdr:pic>
      <xdr:nvPicPr>
        <xdr:cNvPr id="3" name="Imagen 2">
          <a:hlinkClick xmlns:r="http://schemas.openxmlformats.org/officeDocument/2006/relationships" r:id="rId1"/>
          <a:extLst>
            <a:ext uri="{FF2B5EF4-FFF2-40B4-BE49-F238E27FC236}">
              <a16:creationId xmlns:a16="http://schemas.microsoft.com/office/drawing/2014/main" id="{4F475658-4378-443E-945A-FC17BAC3919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8675" y="514350"/>
          <a:ext cx="914400" cy="409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2359858</xdr:colOff>
      <xdr:row>0</xdr:row>
      <xdr:rowOff>33193</xdr:rowOff>
    </xdr:from>
    <xdr:ext cx="1924694" cy="937693"/>
    <xdr:sp macro="" textlink="">
      <xdr:nvSpPr>
        <xdr:cNvPr id="2" name="Rectángulo 1">
          <a:extLst>
            <a:ext uri="{FF2B5EF4-FFF2-40B4-BE49-F238E27FC236}">
              <a16:creationId xmlns:a16="http://schemas.microsoft.com/office/drawing/2014/main" id="{63DE4771-BD49-ECA1-BBF6-C926E9E096AE}"/>
            </a:ext>
          </a:extLst>
        </xdr:cNvPr>
        <xdr:cNvSpPr/>
      </xdr:nvSpPr>
      <xdr:spPr>
        <a:xfrm>
          <a:off x="2905381" y="33193"/>
          <a:ext cx="1924694" cy="937693"/>
        </a:xfrm>
        <a:prstGeom prst="rect">
          <a:avLst/>
        </a:prstGeom>
        <a:noFill/>
      </xdr:spPr>
      <xdr:txBody>
        <a:bodyPr wrap="none" lIns="91440" tIns="45720" rIns="91440" bIns="45720">
          <a:spAutoFit/>
        </a:bodyPr>
        <a:lstStyle/>
        <a:p>
          <a:pPr algn="ctr"/>
          <a:r>
            <a:rPr lang="es-E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MENÚ</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6173932</xdr:colOff>
      <xdr:row>0</xdr:row>
      <xdr:rowOff>181841</xdr:rowOff>
    </xdr:from>
    <xdr:to>
      <xdr:col>1</xdr:col>
      <xdr:colOff>7088332</xdr:colOff>
      <xdr:row>3</xdr:row>
      <xdr:rowOff>19916</xdr:rowOff>
    </xdr:to>
    <xdr:pic>
      <xdr:nvPicPr>
        <xdr:cNvPr id="3" name="Imagen 2">
          <a:hlinkClick xmlns:r="http://schemas.openxmlformats.org/officeDocument/2006/relationships" r:id="rId1"/>
          <a:extLst>
            <a:ext uri="{FF2B5EF4-FFF2-40B4-BE49-F238E27FC236}">
              <a16:creationId xmlns:a16="http://schemas.microsoft.com/office/drawing/2014/main" id="{195E083C-5E9C-1133-A35F-DEBE3FB4C0B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35932" y="181841"/>
          <a:ext cx="914400" cy="409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103909</xdr:colOff>
      <xdr:row>0</xdr:row>
      <xdr:rowOff>86591</xdr:rowOff>
    </xdr:from>
    <xdr:to>
      <xdr:col>3</xdr:col>
      <xdr:colOff>1018309</xdr:colOff>
      <xdr:row>2</xdr:row>
      <xdr:rowOff>115166</xdr:rowOff>
    </xdr:to>
    <xdr:pic>
      <xdr:nvPicPr>
        <xdr:cNvPr id="2" name="Imagen 1">
          <a:hlinkClick xmlns:r="http://schemas.openxmlformats.org/officeDocument/2006/relationships" r:id="rId1"/>
          <a:extLst>
            <a:ext uri="{FF2B5EF4-FFF2-40B4-BE49-F238E27FC236}">
              <a16:creationId xmlns:a16="http://schemas.microsoft.com/office/drawing/2014/main" id="{55DB4BCB-F315-403F-96DA-620135D68C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2886" y="86591"/>
          <a:ext cx="914400" cy="409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43296</xdr:colOff>
      <xdr:row>0</xdr:row>
      <xdr:rowOff>112568</xdr:rowOff>
    </xdr:from>
    <xdr:to>
      <xdr:col>4</xdr:col>
      <xdr:colOff>957696</xdr:colOff>
      <xdr:row>2</xdr:row>
      <xdr:rowOff>141143</xdr:rowOff>
    </xdr:to>
    <xdr:pic>
      <xdr:nvPicPr>
        <xdr:cNvPr id="3" name="Imagen 2">
          <a:hlinkClick xmlns:r="http://schemas.openxmlformats.org/officeDocument/2006/relationships" r:id="rId1"/>
          <a:extLst>
            <a:ext uri="{FF2B5EF4-FFF2-40B4-BE49-F238E27FC236}">
              <a16:creationId xmlns:a16="http://schemas.microsoft.com/office/drawing/2014/main" id="{6ABB2745-7232-4D2C-A424-03B5F240199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2137" y="112568"/>
          <a:ext cx="914400" cy="409575"/>
        </a:xfrm>
        <a:prstGeom prst="rect">
          <a:avLst/>
        </a:prstGeom>
      </xdr:spPr>
    </xdr:pic>
    <xdr:clientData/>
  </xdr:twoCellAnchor>
  <xdr:twoCellAnchor editAs="oneCell">
    <xdr:from>
      <xdr:col>1</xdr:col>
      <xdr:colOff>675409</xdr:colOff>
      <xdr:row>191</xdr:row>
      <xdr:rowOff>2991779</xdr:rowOff>
    </xdr:from>
    <xdr:to>
      <xdr:col>4</xdr:col>
      <xdr:colOff>727364</xdr:colOff>
      <xdr:row>191</xdr:row>
      <xdr:rowOff>4651079</xdr:rowOff>
    </xdr:to>
    <xdr:pic>
      <xdr:nvPicPr>
        <xdr:cNvPr id="2" name="Imagen 1">
          <a:extLst>
            <a:ext uri="{FF2B5EF4-FFF2-40B4-BE49-F238E27FC236}">
              <a16:creationId xmlns:a16="http://schemas.microsoft.com/office/drawing/2014/main" id="{9A9E34F7-3DF0-F30A-A6F0-FBA268F96BD1}"/>
            </a:ext>
          </a:extLst>
        </xdr:cNvPr>
        <xdr:cNvPicPr>
          <a:picLocks noChangeAspect="1"/>
        </xdr:cNvPicPr>
      </xdr:nvPicPr>
      <xdr:blipFill>
        <a:blip xmlns:r="http://schemas.openxmlformats.org/officeDocument/2006/relationships" r:embed="rId3"/>
        <a:stretch>
          <a:fillRect/>
        </a:stretch>
      </xdr:blipFill>
      <xdr:spPr>
        <a:xfrm>
          <a:off x="1134341" y="72758074"/>
          <a:ext cx="6251864" cy="1659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121227</xdr:colOff>
      <xdr:row>0</xdr:row>
      <xdr:rowOff>199158</xdr:rowOff>
    </xdr:from>
    <xdr:to>
      <xdr:col>5</xdr:col>
      <xdr:colOff>1035627</xdr:colOff>
      <xdr:row>2</xdr:row>
      <xdr:rowOff>54551</xdr:rowOff>
    </xdr:to>
    <xdr:pic>
      <xdr:nvPicPr>
        <xdr:cNvPr id="2" name="Imagen 1">
          <a:hlinkClick xmlns:r="http://schemas.openxmlformats.org/officeDocument/2006/relationships" r:id="rId1"/>
          <a:extLst>
            <a:ext uri="{FF2B5EF4-FFF2-40B4-BE49-F238E27FC236}">
              <a16:creationId xmlns:a16="http://schemas.microsoft.com/office/drawing/2014/main" id="{DA057809-E7F2-45DD-9749-1D84C526241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71409" y="199158"/>
          <a:ext cx="914400" cy="4095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4248150</xdr:colOff>
      <xdr:row>0</xdr:row>
      <xdr:rowOff>104775</xdr:rowOff>
    </xdr:from>
    <xdr:to>
      <xdr:col>2</xdr:col>
      <xdr:colOff>5162550</xdr:colOff>
      <xdr:row>2</xdr:row>
      <xdr:rowOff>133350</xdr:rowOff>
    </xdr:to>
    <xdr:pic>
      <xdr:nvPicPr>
        <xdr:cNvPr id="4" name="Imagen 3">
          <a:hlinkClick xmlns:r="http://schemas.openxmlformats.org/officeDocument/2006/relationships" r:id="rId1"/>
          <a:extLst>
            <a:ext uri="{FF2B5EF4-FFF2-40B4-BE49-F238E27FC236}">
              <a16:creationId xmlns:a16="http://schemas.microsoft.com/office/drawing/2014/main" id="{54FD5E7E-2975-46E8-B3FE-8E53D818345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29400" y="104775"/>
          <a:ext cx="914400" cy="4095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121227</xdr:colOff>
      <xdr:row>0</xdr:row>
      <xdr:rowOff>164523</xdr:rowOff>
    </xdr:from>
    <xdr:to>
      <xdr:col>3</xdr:col>
      <xdr:colOff>1035627</xdr:colOff>
      <xdr:row>3</xdr:row>
      <xdr:rowOff>2598</xdr:rowOff>
    </xdr:to>
    <xdr:pic>
      <xdr:nvPicPr>
        <xdr:cNvPr id="3" name="Imagen 2">
          <a:hlinkClick xmlns:r="http://schemas.openxmlformats.org/officeDocument/2006/relationships" r:id="rId1"/>
          <a:extLst>
            <a:ext uri="{FF2B5EF4-FFF2-40B4-BE49-F238E27FC236}">
              <a16:creationId xmlns:a16="http://schemas.microsoft.com/office/drawing/2014/main" id="{99F49D6C-620C-4725-9B5F-64F78E9EB5A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85954" y="164523"/>
          <a:ext cx="914400" cy="4095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706437</xdr:colOff>
      <xdr:row>0</xdr:row>
      <xdr:rowOff>103187</xdr:rowOff>
    </xdr:from>
    <xdr:to>
      <xdr:col>6</xdr:col>
      <xdr:colOff>96837</xdr:colOff>
      <xdr:row>2</xdr:row>
      <xdr:rowOff>131762</xdr:rowOff>
    </xdr:to>
    <xdr:pic>
      <xdr:nvPicPr>
        <xdr:cNvPr id="2" name="Imagen 1">
          <a:hlinkClick xmlns:r="http://schemas.openxmlformats.org/officeDocument/2006/relationships" r:id="rId1"/>
          <a:extLst>
            <a:ext uri="{FF2B5EF4-FFF2-40B4-BE49-F238E27FC236}">
              <a16:creationId xmlns:a16="http://schemas.microsoft.com/office/drawing/2014/main" id="{16812BA2-92B1-4BD4-8310-5579CA37E2B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43875" y="103187"/>
          <a:ext cx="914400" cy="409575"/>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
  <rv s="0">
    <v>0</v>
    <v>5</v>
  </rv>
  <rv s="0">
    <v>1</v>
    <v>5</v>
  </rv>
  <rv s="0">
    <v>2</v>
    <v>5</v>
  </rv>
  <rv s="0">
    <v>3</v>
    <v>5</v>
  </rv>
  <rv s="0">
    <v>4</v>
    <v>5</v>
  </rv>
  <rv s="0">
    <v>5</v>
    <v>5</v>
  </rv>
  <rv s="0">
    <v>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5.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1BA1E-FC98-43F6-B0C7-19DE99CAA964}">
  <sheetPr codeName="Hoja1"/>
  <dimension ref="E1:J26"/>
  <sheetViews>
    <sheetView showGridLines="0" showRowColHeaders="0" tabSelected="1" zoomScale="110" zoomScaleNormal="110" workbookViewId="0">
      <selection activeCell="I2" sqref="I2:J2"/>
    </sheetView>
  </sheetViews>
  <sheetFormatPr baseColWidth="10" defaultRowHeight="15" x14ac:dyDescent="0.25"/>
  <cols>
    <col min="1" max="1" width="5" customWidth="1"/>
    <col min="5" max="5" width="13.85546875" customWidth="1"/>
    <col min="6" max="6" width="18.140625" customWidth="1"/>
    <col min="7" max="7" width="12" customWidth="1"/>
  </cols>
  <sheetData>
    <row r="1" spans="5:10" ht="15.75" thickBot="1" x14ac:dyDescent="0.3"/>
    <row r="2" spans="5:10" ht="15.75" thickBot="1" x14ac:dyDescent="0.3">
      <c r="E2" s="40"/>
      <c r="F2" s="346" t="s">
        <v>786</v>
      </c>
      <c r="G2" s="346"/>
      <c r="H2" s="347"/>
      <c r="I2" s="344"/>
      <c r="J2" s="345"/>
    </row>
    <row r="4" spans="5:10" ht="38.25" customHeight="1" x14ac:dyDescent="0.25"/>
    <row r="26" spans="5:5" x14ac:dyDescent="0.25">
      <c r="E26" s="158" t="s">
        <v>503</v>
      </c>
    </row>
  </sheetData>
  <sheetProtection selectLockedCells="1"/>
  <mergeCells count="2">
    <mergeCell ref="I2:J2"/>
    <mergeCell ref="F2:H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685B-DBE2-4B1A-BCE9-EF58325F61A8}">
  <sheetPr codeName="Hoja2"/>
  <dimension ref="B1:H49"/>
  <sheetViews>
    <sheetView showGridLines="0" workbookViewId="0">
      <selection activeCell="D4" sqref="D4"/>
    </sheetView>
  </sheetViews>
  <sheetFormatPr baseColWidth="10" defaultColWidth="9.140625" defaultRowHeight="15" x14ac:dyDescent="0.25"/>
  <cols>
    <col min="2" max="2" width="46" customWidth="1"/>
    <col min="3" max="3" width="22" customWidth="1"/>
    <col min="4" max="5" width="18" customWidth="1"/>
    <col min="6" max="6" width="24" customWidth="1"/>
    <col min="7" max="8" width="20" customWidth="1"/>
  </cols>
  <sheetData>
    <row r="1" spans="2:8" ht="30" customHeight="1" x14ac:dyDescent="0.25"/>
    <row r="3" spans="2:8" ht="30" x14ac:dyDescent="0.25">
      <c r="B3" s="265" t="s">
        <v>705</v>
      </c>
      <c r="C3" s="265" t="s">
        <v>706</v>
      </c>
      <c r="D3" s="265" t="s">
        <v>707</v>
      </c>
      <c r="E3" s="265" t="s">
        <v>708</v>
      </c>
      <c r="F3" s="265" t="s">
        <v>709</v>
      </c>
      <c r="G3" s="265" t="s">
        <v>710</v>
      </c>
      <c r="H3" s="265" t="s">
        <v>711</v>
      </c>
    </row>
    <row r="4" spans="2:8" x14ac:dyDescent="0.25">
      <c r="B4" s="266" t="s">
        <v>713</v>
      </c>
      <c r="C4" s="271">
        <v>100000</v>
      </c>
      <c r="D4" s="271"/>
      <c r="E4" s="267">
        <f t="shared" ref="E4:E30" si="0">MAX(0,C4-D4)</f>
        <v>100000</v>
      </c>
      <c r="F4" s="271">
        <v>98600</v>
      </c>
      <c r="G4" s="271"/>
      <c r="H4" s="267">
        <f t="shared" ref="H4:H30" si="1">MAX(0,F4-G4)</f>
        <v>98600</v>
      </c>
    </row>
    <row r="5" spans="2:8" x14ac:dyDescent="0.25">
      <c r="B5" s="266" t="s">
        <v>714</v>
      </c>
      <c r="C5" s="271"/>
      <c r="D5" s="271"/>
      <c r="E5" s="267">
        <f t="shared" si="0"/>
        <v>0</v>
      </c>
      <c r="F5" s="271"/>
      <c r="G5" s="271"/>
      <c r="H5" s="267">
        <f t="shared" si="1"/>
        <v>0</v>
      </c>
    </row>
    <row r="6" spans="2:8" x14ac:dyDescent="0.25">
      <c r="B6" s="266" t="s">
        <v>715</v>
      </c>
      <c r="C6" s="271">
        <v>15600</v>
      </c>
      <c r="D6" s="271">
        <v>3800</v>
      </c>
      <c r="E6" s="267">
        <f t="shared" si="0"/>
        <v>11800</v>
      </c>
      <c r="F6" s="271">
        <v>10500</v>
      </c>
      <c r="G6" s="271">
        <v>2800</v>
      </c>
      <c r="H6" s="267">
        <f t="shared" si="1"/>
        <v>7700</v>
      </c>
    </row>
    <row r="7" spans="2:8" x14ac:dyDescent="0.25">
      <c r="B7" s="266" t="s">
        <v>21</v>
      </c>
      <c r="C7" s="271"/>
      <c r="D7" s="271"/>
      <c r="E7" s="267">
        <f t="shared" si="0"/>
        <v>0</v>
      </c>
      <c r="F7" s="271"/>
      <c r="G7" s="271"/>
      <c r="H7" s="267">
        <f t="shared" si="1"/>
        <v>0</v>
      </c>
    </row>
    <row r="8" spans="2:8" x14ac:dyDescent="0.25">
      <c r="B8" s="266" t="s">
        <v>17</v>
      </c>
      <c r="C8" s="271"/>
      <c r="D8" s="271"/>
      <c r="E8" s="267">
        <f t="shared" si="0"/>
        <v>0</v>
      </c>
      <c r="F8" s="271"/>
      <c r="G8" s="271"/>
      <c r="H8" s="267">
        <f t="shared" si="1"/>
        <v>0</v>
      </c>
    </row>
    <row r="9" spans="2:8" x14ac:dyDescent="0.25">
      <c r="B9" s="266" t="s">
        <v>16</v>
      </c>
      <c r="C9" s="271"/>
      <c r="D9" s="271"/>
      <c r="E9" s="267">
        <f t="shared" si="0"/>
        <v>0</v>
      </c>
      <c r="F9" s="271"/>
      <c r="G9" s="271"/>
      <c r="H9" s="267">
        <f t="shared" si="1"/>
        <v>0</v>
      </c>
    </row>
    <row r="10" spans="2:8" x14ac:dyDescent="0.25">
      <c r="B10" s="266" t="s">
        <v>716</v>
      </c>
      <c r="C10" s="271"/>
      <c r="D10" s="271"/>
      <c r="E10" s="267">
        <f t="shared" si="0"/>
        <v>0</v>
      </c>
      <c r="F10" s="271"/>
      <c r="G10" s="271"/>
      <c r="H10" s="267">
        <f t="shared" si="1"/>
        <v>0</v>
      </c>
    </row>
    <row r="11" spans="2:8" ht="30" x14ac:dyDescent="0.25">
      <c r="B11" s="266" t="s">
        <v>717</v>
      </c>
      <c r="C11" s="271"/>
      <c r="D11" s="271"/>
      <c r="E11" s="267">
        <f t="shared" si="0"/>
        <v>0</v>
      </c>
      <c r="F11" s="271"/>
      <c r="G11" s="271"/>
      <c r="H11" s="267">
        <f t="shared" si="1"/>
        <v>0</v>
      </c>
    </row>
    <row r="12" spans="2:8" x14ac:dyDescent="0.25">
      <c r="B12" s="266" t="s">
        <v>718</v>
      </c>
      <c r="C12" s="271"/>
      <c r="D12" s="271"/>
      <c r="E12" s="267">
        <f t="shared" si="0"/>
        <v>0</v>
      </c>
      <c r="F12" s="271"/>
      <c r="G12" s="271"/>
      <c r="H12" s="267">
        <f t="shared" si="1"/>
        <v>0</v>
      </c>
    </row>
    <row r="13" spans="2:8" ht="30" x14ac:dyDescent="0.25">
      <c r="B13" s="266" t="s">
        <v>719</v>
      </c>
      <c r="C13" s="271"/>
      <c r="D13" s="271"/>
      <c r="E13" s="267">
        <f t="shared" si="0"/>
        <v>0</v>
      </c>
      <c r="F13" s="271"/>
      <c r="G13" s="271"/>
      <c r="H13" s="267">
        <f t="shared" si="1"/>
        <v>0</v>
      </c>
    </row>
    <row r="14" spans="2:8" x14ac:dyDescent="0.25">
      <c r="B14" s="266" t="s">
        <v>493</v>
      </c>
      <c r="C14" s="271"/>
      <c r="D14" s="271"/>
      <c r="E14" s="267">
        <f t="shared" si="0"/>
        <v>0</v>
      </c>
      <c r="F14" s="271"/>
      <c r="G14" s="271"/>
      <c r="H14" s="267">
        <f t="shared" si="1"/>
        <v>0</v>
      </c>
    </row>
    <row r="15" spans="2:8" x14ac:dyDescent="0.25">
      <c r="B15" s="266" t="s">
        <v>720</v>
      </c>
      <c r="C15" s="271"/>
      <c r="D15" s="271"/>
      <c r="E15" s="267">
        <f t="shared" si="0"/>
        <v>0</v>
      </c>
      <c r="F15" s="271"/>
      <c r="G15" s="271"/>
      <c r="H15" s="267">
        <f t="shared" si="1"/>
        <v>0</v>
      </c>
    </row>
    <row r="16" spans="2:8" x14ac:dyDescent="0.25">
      <c r="B16" s="266" t="s">
        <v>721</v>
      </c>
      <c r="C16" s="271"/>
      <c r="D16" s="271"/>
      <c r="E16" s="267">
        <f t="shared" si="0"/>
        <v>0</v>
      </c>
      <c r="F16" s="271"/>
      <c r="G16" s="271"/>
      <c r="H16" s="267">
        <f t="shared" si="1"/>
        <v>0</v>
      </c>
    </row>
    <row r="17" spans="2:8" x14ac:dyDescent="0.25">
      <c r="B17" s="266" t="s">
        <v>722</v>
      </c>
      <c r="C17" s="271">
        <v>59000</v>
      </c>
      <c r="D17" s="271">
        <v>59000</v>
      </c>
      <c r="E17" s="267">
        <f t="shared" si="0"/>
        <v>0</v>
      </c>
      <c r="F17" s="271">
        <v>45000</v>
      </c>
      <c r="G17" s="271">
        <v>45000</v>
      </c>
      <c r="H17" s="267">
        <f t="shared" si="1"/>
        <v>0</v>
      </c>
    </row>
    <row r="18" spans="2:8" x14ac:dyDescent="0.25">
      <c r="B18" s="266" t="s">
        <v>723</v>
      </c>
      <c r="C18" s="271"/>
      <c r="D18" s="271"/>
      <c r="E18" s="267">
        <f t="shared" si="0"/>
        <v>0</v>
      </c>
      <c r="F18" s="271"/>
      <c r="G18" s="271"/>
      <c r="H18" s="267">
        <f t="shared" si="1"/>
        <v>0</v>
      </c>
    </row>
    <row r="19" spans="2:8" x14ac:dyDescent="0.25">
      <c r="B19" s="266" t="s">
        <v>724</v>
      </c>
      <c r="C19" s="271"/>
      <c r="D19" s="271"/>
      <c r="E19" s="267">
        <f t="shared" si="0"/>
        <v>0</v>
      </c>
      <c r="F19" s="271"/>
      <c r="G19" s="271"/>
      <c r="H19" s="267">
        <f t="shared" si="1"/>
        <v>0</v>
      </c>
    </row>
    <row r="20" spans="2:8" x14ac:dyDescent="0.25">
      <c r="B20" s="266" t="s">
        <v>725</v>
      </c>
      <c r="C20" s="271"/>
      <c r="D20" s="271"/>
      <c r="E20" s="267">
        <f t="shared" si="0"/>
        <v>0</v>
      </c>
      <c r="F20" s="271"/>
      <c r="G20" s="271"/>
      <c r="H20" s="267">
        <f t="shared" si="1"/>
        <v>0</v>
      </c>
    </row>
    <row r="21" spans="2:8" x14ac:dyDescent="0.25">
      <c r="B21" s="266" t="s">
        <v>726</v>
      </c>
      <c r="C21" s="271"/>
      <c r="D21" s="271"/>
      <c r="E21" s="267">
        <f t="shared" si="0"/>
        <v>0</v>
      </c>
      <c r="F21" s="271"/>
      <c r="G21" s="271"/>
      <c r="H21" s="267">
        <f t="shared" si="1"/>
        <v>0</v>
      </c>
    </row>
    <row r="22" spans="2:8" x14ac:dyDescent="0.25">
      <c r="B22" s="266" t="s">
        <v>727</v>
      </c>
      <c r="C22" s="271"/>
      <c r="D22" s="271"/>
      <c r="E22" s="267">
        <f t="shared" si="0"/>
        <v>0</v>
      </c>
      <c r="F22" s="271"/>
      <c r="G22" s="271"/>
      <c r="H22" s="267">
        <f t="shared" si="1"/>
        <v>0</v>
      </c>
    </row>
    <row r="23" spans="2:8" x14ac:dyDescent="0.25">
      <c r="B23" s="266" t="s">
        <v>13</v>
      </c>
      <c r="C23" s="271"/>
      <c r="D23" s="271"/>
      <c r="E23" s="267">
        <f t="shared" si="0"/>
        <v>0</v>
      </c>
      <c r="F23" s="271"/>
      <c r="G23" s="271"/>
      <c r="H23" s="267">
        <f t="shared" si="1"/>
        <v>0</v>
      </c>
    </row>
    <row r="24" spans="2:8" x14ac:dyDescent="0.25">
      <c r="B24" s="266" t="s">
        <v>728</v>
      </c>
      <c r="C24" s="271"/>
      <c r="D24" s="271"/>
      <c r="E24" s="267">
        <f t="shared" si="0"/>
        <v>0</v>
      </c>
      <c r="F24" s="271"/>
      <c r="G24" s="271"/>
      <c r="H24" s="267">
        <f t="shared" si="1"/>
        <v>0</v>
      </c>
    </row>
    <row r="25" spans="2:8" ht="30" x14ac:dyDescent="0.25">
      <c r="B25" s="266" t="s">
        <v>729</v>
      </c>
      <c r="C25" s="271"/>
      <c r="D25" s="271"/>
      <c r="E25" s="267">
        <f t="shared" si="0"/>
        <v>0</v>
      </c>
      <c r="F25" s="271"/>
      <c r="G25" s="271"/>
      <c r="H25" s="267">
        <f t="shared" si="1"/>
        <v>0</v>
      </c>
    </row>
    <row r="26" spans="2:8" x14ac:dyDescent="0.25">
      <c r="B26" s="266" t="s">
        <v>730</v>
      </c>
      <c r="C26" s="271"/>
      <c r="D26" s="271"/>
      <c r="E26" s="267">
        <f t="shared" si="0"/>
        <v>0</v>
      </c>
      <c r="F26" s="271"/>
      <c r="G26" s="271"/>
      <c r="H26" s="267">
        <f t="shared" si="1"/>
        <v>0</v>
      </c>
    </row>
    <row r="27" spans="2:8" x14ac:dyDescent="0.25">
      <c r="B27" s="266" t="s">
        <v>731</v>
      </c>
      <c r="C27" s="271"/>
      <c r="D27" s="271"/>
      <c r="E27" s="267">
        <f t="shared" si="0"/>
        <v>0</v>
      </c>
      <c r="F27" s="271"/>
      <c r="G27" s="271"/>
      <c r="H27" s="267">
        <f t="shared" si="1"/>
        <v>0</v>
      </c>
    </row>
    <row r="28" spans="2:8" x14ac:dyDescent="0.25">
      <c r="B28" s="266" t="s">
        <v>639</v>
      </c>
      <c r="C28" s="271"/>
      <c r="D28" s="271"/>
      <c r="E28" s="267">
        <f t="shared" si="0"/>
        <v>0</v>
      </c>
      <c r="F28" s="271"/>
      <c r="G28" s="271"/>
      <c r="H28" s="267">
        <f t="shared" si="1"/>
        <v>0</v>
      </c>
    </row>
    <row r="29" spans="2:8" x14ac:dyDescent="0.25">
      <c r="B29" s="266" t="s">
        <v>732</v>
      </c>
      <c r="C29" s="271"/>
      <c r="D29" s="271"/>
      <c r="E29" s="267">
        <f t="shared" si="0"/>
        <v>0</v>
      </c>
      <c r="F29" s="271"/>
      <c r="G29" s="271"/>
      <c r="H29" s="267">
        <f t="shared" si="1"/>
        <v>0</v>
      </c>
    </row>
    <row r="30" spans="2:8" ht="30" x14ac:dyDescent="0.25">
      <c r="B30" s="266" t="s">
        <v>733</v>
      </c>
      <c r="C30" s="271"/>
      <c r="D30" s="271"/>
      <c r="E30" s="267">
        <f t="shared" si="0"/>
        <v>0</v>
      </c>
      <c r="F30" s="271"/>
      <c r="G30" s="271"/>
      <c r="H30" s="267">
        <f t="shared" si="1"/>
        <v>0</v>
      </c>
    </row>
    <row r="31" spans="2:8" x14ac:dyDescent="0.25">
      <c r="B31" s="268" t="s">
        <v>734</v>
      </c>
      <c r="C31" s="269">
        <f t="shared" ref="C31:H31" si="2">SUM(C4:C30)</f>
        <v>174600</v>
      </c>
      <c r="D31" s="269">
        <f t="shared" si="2"/>
        <v>62800</v>
      </c>
      <c r="E31" s="269">
        <f t="shared" si="2"/>
        <v>111800</v>
      </c>
      <c r="F31" s="269">
        <f t="shared" si="2"/>
        <v>154100</v>
      </c>
      <c r="G31" s="269">
        <f t="shared" si="2"/>
        <v>47800</v>
      </c>
      <c r="H31" s="269">
        <f t="shared" si="2"/>
        <v>106300</v>
      </c>
    </row>
    <row r="34" spans="2:3" ht="18.75" x14ac:dyDescent="0.3">
      <c r="B34" s="272" t="s">
        <v>735</v>
      </c>
    </row>
    <row r="35" spans="2:3" x14ac:dyDescent="0.25">
      <c r="B35" s="266" t="s">
        <v>736</v>
      </c>
      <c r="C35" s="285">
        <f>C31</f>
        <v>174600</v>
      </c>
    </row>
    <row r="36" spans="2:3" x14ac:dyDescent="0.25">
      <c r="B36" s="266" t="s">
        <v>737</v>
      </c>
      <c r="C36" s="285">
        <f>D31</f>
        <v>62800</v>
      </c>
    </row>
    <row r="37" spans="2:3" x14ac:dyDescent="0.25">
      <c r="B37" s="266" t="s">
        <v>738</v>
      </c>
      <c r="C37" s="286">
        <f>IFERROR(C36/C35,0)</f>
        <v>0.35967926689576174</v>
      </c>
    </row>
    <row r="38" spans="2:3" ht="30" x14ac:dyDescent="0.25">
      <c r="B38" s="266" t="s">
        <v>739</v>
      </c>
      <c r="C38" s="285">
        <f>F31</f>
        <v>154100</v>
      </c>
    </row>
    <row r="39" spans="2:3" x14ac:dyDescent="0.25">
      <c r="B39" s="266" t="s">
        <v>740</v>
      </c>
      <c r="C39" s="285">
        <f>G31</f>
        <v>47800</v>
      </c>
    </row>
    <row r="40" spans="2:3" x14ac:dyDescent="0.25">
      <c r="B40" s="266" t="s">
        <v>741</v>
      </c>
      <c r="C40" s="286">
        <f>IFERROR(C39/C38,0)</f>
        <v>0.31018818948734589</v>
      </c>
    </row>
    <row r="41" spans="2:3" x14ac:dyDescent="0.25">
      <c r="B41" s="268" t="s">
        <v>742</v>
      </c>
      <c r="C41" s="269" t="str">
        <f>IF(C37&lt;C40,"Sí","No")</f>
        <v>No</v>
      </c>
    </row>
    <row r="42" spans="2:3" x14ac:dyDescent="0.25">
      <c r="B42" s="268" t="s">
        <v>743</v>
      </c>
      <c r="C42" s="270">
        <f>IFERROR(IF(C37&gt;=C40,0.47,0.53),"")</f>
        <v>0.47</v>
      </c>
    </row>
    <row r="43" spans="2:3" x14ac:dyDescent="0.25">
      <c r="B43" s="268" t="s">
        <v>744</v>
      </c>
      <c r="C43" s="269">
        <f>D31*C42</f>
        <v>29516</v>
      </c>
    </row>
    <row r="44" spans="2:3" x14ac:dyDescent="0.25">
      <c r="B44" s="268" t="s">
        <v>745</v>
      </c>
      <c r="C44" s="269">
        <f>IFERROR(D31-C43,0)</f>
        <v>33284</v>
      </c>
    </row>
    <row r="45" spans="2:3" x14ac:dyDescent="0.25">
      <c r="B45" s="266" t="s">
        <v>746</v>
      </c>
      <c r="C45" s="267">
        <f>E31</f>
        <v>111800</v>
      </c>
    </row>
    <row r="46" spans="2:3" x14ac:dyDescent="0.25">
      <c r="B46" s="268" t="s">
        <v>747</v>
      </c>
      <c r="C46" s="269">
        <f>C45+C44</f>
        <v>145084</v>
      </c>
    </row>
    <row r="47" spans="2:3" x14ac:dyDescent="0.25">
      <c r="B47" s="266" t="s">
        <v>748</v>
      </c>
      <c r="C47" s="267">
        <f>C35</f>
        <v>174600</v>
      </c>
    </row>
    <row r="49" spans="2:4" x14ac:dyDescent="0.25">
      <c r="B49" s="478" t="s">
        <v>749</v>
      </c>
      <c r="C49" s="479"/>
      <c r="D49" s="479"/>
    </row>
  </sheetData>
  <mergeCells count="1">
    <mergeCell ref="B49:D49"/>
  </mergeCells>
  <dataValidations count="3">
    <dataValidation type="custom" allowBlank="1" errorTitle="Dato inválido" error="El exento del año anterior no puede ser mayor que el total pagado del año anterior." sqref="G4:G30" xr:uid="{79C94E5A-37C2-41CF-8106-78D37E2A2839}">
      <formula1>G4&lt;=F4</formula1>
    </dataValidation>
    <dataValidation type="custom" allowBlank="1" errorTitle="Dato inválido" error="El exento del ejercicio no puede ser mayor que el total pagado del ejercicio." sqref="D4:D30" xr:uid="{EE11AA9D-9071-4847-9949-2F0CFC7ABF84}">
      <formula1>D4&lt;=C4</formula1>
    </dataValidation>
    <dataValidation type="decimal" operator="greaterThanOrEqual" allowBlank="1" errorTitle="Dato inválido" error="Captura un número mayor o igual a 0." sqref="C4:D30 F4:G30" xr:uid="{9B503485-AE06-482F-92B5-6833D70AC009}">
      <formula1>0</formula1>
    </dataValidation>
  </dataValidations>
  <pageMargins left="0.75" right="0.75" top="1" bottom="1" header="0.5" footer="0.5"/>
  <drawing r:id="rId1"/>
  <extLst>
    <ext xmlns:x14="http://schemas.microsoft.com/office/spreadsheetml/2009/9/main" uri="{78C0D931-6437-407d-A8EE-F0AAD7539E65}">
      <x14:conditionalFormattings>
        <x14:conditionalFormatting xmlns:xm="http://schemas.microsoft.com/office/excel/2006/main">
          <x14:cfRule type="expression" priority="1" id="{EC1EE124-EB48-4EF8-83BD-887E02FCD83F}">
            <xm:f>IF(CONTRA=GENERAL!B$107,1,0)</xm:f>
            <x14:dxf>
              <font>
                <color theme="1"/>
              </font>
            </x14:dxf>
          </x14:cfRule>
          <xm:sqref>C35:C40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81893-98FC-4DA2-8AAE-872F41B75581}">
  <sheetPr codeName="Hoja28"/>
  <dimension ref="B1:J122"/>
  <sheetViews>
    <sheetView showGridLines="0" zoomScale="120" zoomScaleNormal="120" workbookViewId="0">
      <selection activeCell="B35" sqref="B35:J42"/>
    </sheetView>
  </sheetViews>
  <sheetFormatPr baseColWidth="10" defaultRowHeight="15" outlineLevelRow="1" x14ac:dyDescent="0.25"/>
  <cols>
    <col min="1" max="1" width="4" customWidth="1"/>
    <col min="2" max="2" width="24.42578125" customWidth="1"/>
    <col min="3" max="3" width="17.7109375" customWidth="1"/>
    <col min="5" max="5" width="25.140625" customWidth="1"/>
    <col min="6" max="6" width="18.5703125" customWidth="1"/>
    <col min="7" max="7" width="9.140625" customWidth="1"/>
    <col min="8" max="8" width="18.42578125" customWidth="1"/>
    <col min="9" max="9" width="34.28515625" customWidth="1"/>
    <col min="10" max="10" width="17.5703125" customWidth="1"/>
  </cols>
  <sheetData>
    <row r="1" spans="2:10" ht="40.5" customHeight="1" x14ac:dyDescent="0.25"/>
    <row r="3" spans="2:10" x14ac:dyDescent="0.25">
      <c r="B3" s="108" t="s">
        <v>331</v>
      </c>
      <c r="E3" s="109" t="s">
        <v>332</v>
      </c>
      <c r="I3" s="110" t="s">
        <v>333</v>
      </c>
    </row>
    <row r="4" spans="2:10" x14ac:dyDescent="0.25">
      <c r="B4" t="s">
        <v>334</v>
      </c>
      <c r="C4" s="111"/>
      <c r="E4" t="s">
        <v>335</v>
      </c>
      <c r="F4" s="111"/>
      <c r="G4" s="112"/>
      <c r="I4" t="s">
        <v>335</v>
      </c>
      <c r="J4" s="111"/>
    </row>
    <row r="5" spans="2:10" x14ac:dyDescent="0.25">
      <c r="B5" t="s">
        <v>336</v>
      </c>
      <c r="C5" s="111"/>
      <c r="E5" t="s">
        <v>337</v>
      </c>
      <c r="F5" s="111"/>
      <c r="G5" s="112"/>
      <c r="I5" t="s">
        <v>337</v>
      </c>
      <c r="J5" s="111"/>
    </row>
    <row r="6" spans="2:10" x14ac:dyDescent="0.25">
      <c r="B6" t="s">
        <v>338</v>
      </c>
      <c r="C6" s="111"/>
      <c r="E6" t="s">
        <v>339</v>
      </c>
      <c r="F6" s="111"/>
      <c r="G6" s="112"/>
      <c r="I6" t="s">
        <v>339</v>
      </c>
      <c r="J6" s="111"/>
    </row>
    <row r="7" spans="2:10" x14ac:dyDescent="0.25">
      <c r="B7" t="s">
        <v>340</v>
      </c>
      <c r="C7" s="111" t="s">
        <v>341</v>
      </c>
      <c r="E7" t="s">
        <v>342</v>
      </c>
      <c r="F7" s="111"/>
      <c r="G7" s="112"/>
      <c r="I7" t="s">
        <v>342</v>
      </c>
      <c r="J7" s="111"/>
    </row>
    <row r="8" spans="2:10" x14ac:dyDescent="0.25">
      <c r="B8" t="s">
        <v>343</v>
      </c>
      <c r="C8" s="113" t="s">
        <v>344</v>
      </c>
      <c r="E8" t="s">
        <v>345</v>
      </c>
      <c r="F8" s="111"/>
      <c r="G8" s="112"/>
      <c r="I8" t="s">
        <v>346</v>
      </c>
      <c r="J8" s="111"/>
    </row>
    <row r="9" spans="2:10" x14ac:dyDescent="0.25">
      <c r="B9" t="s">
        <v>347</v>
      </c>
      <c r="C9" s="111" t="s">
        <v>348</v>
      </c>
      <c r="I9" t="s">
        <v>349</v>
      </c>
      <c r="J9" s="111"/>
    </row>
    <row r="10" spans="2:10" x14ac:dyDescent="0.25">
      <c r="B10" t="s">
        <v>350</v>
      </c>
      <c r="C10" s="113" t="s">
        <v>344</v>
      </c>
      <c r="I10" t="s">
        <v>351</v>
      </c>
      <c r="J10" s="111" t="s">
        <v>352</v>
      </c>
    </row>
    <row r="11" spans="2:10" x14ac:dyDescent="0.25">
      <c r="B11" t="s">
        <v>353</v>
      </c>
      <c r="C11" s="113" t="s">
        <v>344</v>
      </c>
    </row>
    <row r="12" spans="2:10" x14ac:dyDescent="0.25">
      <c r="B12" t="s">
        <v>354</v>
      </c>
      <c r="C12" s="111"/>
    </row>
    <row r="13" spans="2:10" x14ac:dyDescent="0.25">
      <c r="B13" t="s">
        <v>355</v>
      </c>
      <c r="C13" s="114" t="s">
        <v>356</v>
      </c>
    </row>
    <row r="14" spans="2:10" x14ac:dyDescent="0.25">
      <c r="B14" t="s">
        <v>357</v>
      </c>
      <c r="C14" s="111" t="s">
        <v>358</v>
      </c>
    </row>
    <row r="16" spans="2:10" x14ac:dyDescent="0.25">
      <c r="B16" s="483" t="s">
        <v>359</v>
      </c>
      <c r="C16" s="483"/>
      <c r="D16" s="483"/>
      <c r="E16" s="483"/>
      <c r="F16" s="483"/>
      <c r="G16" s="483"/>
      <c r="H16" s="483"/>
      <c r="I16" s="483"/>
      <c r="J16" s="483"/>
    </row>
    <row r="17" spans="2:10" x14ac:dyDescent="0.25">
      <c r="B17" s="115" t="s">
        <v>360</v>
      </c>
      <c r="C17" s="116"/>
      <c r="E17" s="115" t="s">
        <v>361</v>
      </c>
      <c r="F17" s="4"/>
    </row>
    <row r="19" spans="2:10" x14ac:dyDescent="0.25">
      <c r="B19" s="483" t="s">
        <v>362</v>
      </c>
      <c r="C19" s="483"/>
      <c r="D19" s="483"/>
      <c r="E19" s="483"/>
      <c r="F19" s="483"/>
      <c r="G19" s="483"/>
      <c r="H19" s="483"/>
      <c r="I19" s="483"/>
      <c r="J19" s="483"/>
    </row>
    <row r="20" spans="2:10" x14ac:dyDescent="0.25">
      <c r="B20" s="117" t="s">
        <v>363</v>
      </c>
      <c r="C20" s="4">
        <v>84111505</v>
      </c>
      <c r="E20" s="117" t="s">
        <v>364</v>
      </c>
      <c r="F20" s="113" t="s">
        <v>344</v>
      </c>
      <c r="I20" s="117" t="s">
        <v>365</v>
      </c>
      <c r="J20" s="4" t="s">
        <v>366</v>
      </c>
    </row>
    <row r="21" spans="2:10" x14ac:dyDescent="0.25">
      <c r="B21" s="118"/>
    </row>
    <row r="22" spans="2:10" x14ac:dyDescent="0.25">
      <c r="B22" s="117" t="s">
        <v>367</v>
      </c>
      <c r="C22" s="113" t="s">
        <v>344</v>
      </c>
      <c r="E22" s="117" t="s">
        <v>368</v>
      </c>
      <c r="F22" s="4">
        <v>1</v>
      </c>
      <c r="I22" s="117" t="s">
        <v>369</v>
      </c>
      <c r="J22" s="4"/>
    </row>
    <row r="23" spans="2:10" x14ac:dyDescent="0.25">
      <c r="B23" s="119"/>
      <c r="E23" s="117"/>
      <c r="I23" s="120"/>
    </row>
    <row r="24" spans="2:10" x14ac:dyDescent="0.25">
      <c r="B24" s="117" t="s">
        <v>370</v>
      </c>
      <c r="C24" s="4" t="s">
        <v>371</v>
      </c>
      <c r="E24" s="117" t="s">
        <v>372</v>
      </c>
      <c r="F24" s="4"/>
      <c r="I24" s="117" t="s">
        <v>373</v>
      </c>
      <c r="J24" s="4"/>
    </row>
    <row r="25" spans="2:10" x14ac:dyDescent="0.25">
      <c r="B25" s="118"/>
    </row>
    <row r="26" spans="2:10" x14ac:dyDescent="0.25">
      <c r="B26" s="117" t="s">
        <v>374</v>
      </c>
      <c r="C26" s="111"/>
      <c r="E26" s="117" t="s">
        <v>375</v>
      </c>
      <c r="F26" s="113" t="s">
        <v>344</v>
      </c>
      <c r="I26" s="117" t="s">
        <v>376</v>
      </c>
      <c r="J26" s="113" t="s">
        <v>344</v>
      </c>
    </row>
    <row r="28" spans="2:10" x14ac:dyDescent="0.25">
      <c r="B28" s="484" t="s">
        <v>377</v>
      </c>
      <c r="C28" s="484"/>
      <c r="D28" s="484"/>
      <c r="E28" s="484"/>
      <c r="F28" s="484"/>
      <c r="G28" s="484"/>
      <c r="H28" s="484"/>
      <c r="I28" s="484"/>
      <c r="J28" s="484"/>
    </row>
    <row r="29" spans="2:10" ht="219" customHeight="1" x14ac:dyDescent="0.25">
      <c r="B29" s="480" t="s">
        <v>48</v>
      </c>
      <c r="C29" s="480"/>
      <c r="D29" s="481" t="s">
        <v>777</v>
      </c>
      <c r="E29" s="481"/>
      <c r="F29" s="481"/>
      <c r="G29" s="481"/>
      <c r="H29" s="481"/>
      <c r="I29" s="481"/>
      <c r="J29" s="481"/>
    </row>
    <row r="30" spans="2:10" ht="177" customHeight="1" x14ac:dyDescent="0.25">
      <c r="B30" s="480" t="s">
        <v>378</v>
      </c>
      <c r="C30" s="480"/>
      <c r="D30" s="481" t="s">
        <v>778</v>
      </c>
      <c r="E30" s="482"/>
      <c r="F30" s="482"/>
      <c r="G30" s="482"/>
      <c r="H30" s="482"/>
      <c r="I30" s="482"/>
      <c r="J30" s="482"/>
    </row>
    <row r="31" spans="2:10" ht="111.75" customHeight="1" x14ac:dyDescent="0.25">
      <c r="B31" s="480" t="s">
        <v>379</v>
      </c>
      <c r="C31" s="480"/>
      <c r="D31" s="485" t="s">
        <v>779</v>
      </c>
      <c r="E31" s="486"/>
      <c r="F31" s="486"/>
      <c r="G31" s="486"/>
      <c r="H31" s="486"/>
      <c r="I31" s="486"/>
      <c r="J31" s="486"/>
    </row>
    <row r="32" spans="2:10" ht="117.75" customHeight="1" x14ac:dyDescent="0.25">
      <c r="B32" s="480" t="s">
        <v>380</v>
      </c>
      <c r="C32" s="480"/>
      <c r="D32" s="481" t="s">
        <v>780</v>
      </c>
      <c r="E32" s="482"/>
      <c r="F32" s="482"/>
      <c r="G32" s="482"/>
      <c r="H32" s="482"/>
      <c r="I32" s="482"/>
      <c r="J32" s="482"/>
    </row>
    <row r="33" spans="2:10" ht="112.5" customHeight="1" x14ac:dyDescent="0.25">
      <c r="B33" s="480" t="s">
        <v>381</v>
      </c>
      <c r="C33" s="480"/>
      <c r="D33" s="481" t="s">
        <v>781</v>
      </c>
      <c r="E33" s="482"/>
      <c r="F33" s="482"/>
      <c r="G33" s="482"/>
      <c r="H33" s="482"/>
      <c r="I33" s="482"/>
      <c r="J33" s="482"/>
    </row>
    <row r="34" spans="2:10" ht="255.75" customHeight="1" x14ac:dyDescent="0.25">
      <c r="B34" s="480" t="s">
        <v>382</v>
      </c>
      <c r="C34" s="480"/>
      <c r="D34" s="481" t="s">
        <v>782</v>
      </c>
      <c r="E34" s="482"/>
      <c r="F34" s="482"/>
      <c r="G34" s="482"/>
      <c r="H34" s="482"/>
      <c r="I34" s="482"/>
      <c r="J34" s="482"/>
    </row>
    <row r="35" spans="2:10" ht="142.5" customHeight="1" x14ac:dyDescent="0.25">
      <c r="B35" s="488" t="s">
        <v>383</v>
      </c>
      <c r="C35" s="489"/>
      <c r="D35" s="455" t="s">
        <v>384</v>
      </c>
      <c r="E35" s="456"/>
      <c r="F35" s="456"/>
      <c r="G35" s="456"/>
      <c r="H35" s="456"/>
      <c r="I35" s="456"/>
      <c r="J35" s="456"/>
    </row>
    <row r="36" spans="2:10" x14ac:dyDescent="0.25">
      <c r="B36" s="490"/>
      <c r="C36" s="491"/>
      <c r="D36" s="121"/>
      <c r="E36" s="122" t="s">
        <v>385</v>
      </c>
      <c r="F36" s="122" t="s">
        <v>386</v>
      </c>
      <c r="G36" s="107"/>
      <c r="H36" s="123" t="s">
        <v>78</v>
      </c>
      <c r="I36" s="124">
        <f>IFERROR(DATEDIF(E37,F37,"y"),"")</f>
        <v>0</v>
      </c>
      <c r="J36" s="125"/>
    </row>
    <row r="37" spans="2:10" x14ac:dyDescent="0.25">
      <c r="B37" s="490"/>
      <c r="C37" s="491"/>
      <c r="D37" s="121"/>
      <c r="E37" s="126">
        <v>45901</v>
      </c>
      <c r="F37" s="126">
        <v>45904</v>
      </c>
      <c r="G37" s="107"/>
      <c r="H37" s="123" t="s">
        <v>387</v>
      </c>
      <c r="I37" s="124">
        <f>IFERROR(DATEDIF(E37,F37,"YM"),"")</f>
        <v>0</v>
      </c>
      <c r="J37" s="125"/>
    </row>
    <row r="38" spans="2:10" x14ac:dyDescent="0.25">
      <c r="B38" s="490"/>
      <c r="C38" s="491"/>
      <c r="D38" s="121"/>
      <c r="E38" s="107"/>
      <c r="F38" s="107"/>
      <c r="G38" s="107"/>
      <c r="H38" s="123" t="s">
        <v>81</v>
      </c>
      <c r="I38" s="124">
        <f>IFERROR(DATEDIF(E37,F37,"MD"),"")</f>
        <v>3</v>
      </c>
      <c r="J38" s="125"/>
    </row>
    <row r="39" spans="2:10" x14ac:dyDescent="0.25">
      <c r="B39" s="490"/>
      <c r="C39" s="491"/>
      <c r="D39" s="121"/>
      <c r="E39" s="107"/>
      <c r="F39" s="107"/>
      <c r="G39" s="107"/>
      <c r="J39" s="125"/>
    </row>
    <row r="40" spans="2:10" x14ac:dyDescent="0.25">
      <c r="B40" s="490"/>
      <c r="C40" s="491"/>
      <c r="D40" s="121"/>
      <c r="E40" s="107"/>
      <c r="F40" s="107"/>
      <c r="G40" s="107"/>
      <c r="H40" s="122" t="s">
        <v>383</v>
      </c>
      <c r="I40" s="122" t="s">
        <v>388</v>
      </c>
      <c r="J40" s="125"/>
    </row>
    <row r="41" spans="2:10" x14ac:dyDescent="0.25">
      <c r="B41" s="490"/>
      <c r="C41" s="491"/>
      <c r="D41" s="121"/>
      <c r="E41" s="107"/>
      <c r="F41" s="107"/>
      <c r="G41" s="107"/>
      <c r="H41" s="11" t="s">
        <v>389</v>
      </c>
      <c r="I41" s="11" t="str">
        <f>IFERROR(IF(AND(I36=0,I37&gt;0,I38&gt;0),"P"&amp;I37&amp;"M"&amp;I38&amp;"D",IF(AND(I36&gt;0,I37=0,I38=0),"P"&amp;I36&amp;"Y",IF(AND(I36=0,I37&gt;0,I38=0),"P"&amp;I37&amp;"M",IF(AND(I36=0,I37=0,I38&gt;0),"P"&amp;I38&amp;"D",IF(AND(I36&gt;0,I37=0,I38&gt;0),"P"&amp;I36&amp;"Y"&amp;I38&amp;"D",IF(AND(I36&gt;0,I37&gt;0,I38&gt;0),"P"&amp;I36&amp;"Y"&amp;I37&amp;"M"&amp;I38&amp;"D",IF(AND(I36&gt;0,I37&gt;0,I38=0),"P"&amp;I36&amp;"Y"&amp;I37&amp;"M",""))))))),"")</f>
        <v>P3D</v>
      </c>
      <c r="J41" s="125"/>
    </row>
    <row r="42" spans="2:10" x14ac:dyDescent="0.25">
      <c r="B42" s="492"/>
      <c r="C42" s="493"/>
      <c r="D42" s="127"/>
      <c r="E42" s="128"/>
      <c r="F42" s="128"/>
      <c r="G42" s="128"/>
      <c r="H42" s="11" t="s">
        <v>390</v>
      </c>
      <c r="I42" s="4" t="str">
        <f>IFERROR("P"&amp;INT(DATEDIF(E37,F37,"d")/7)&amp;"W","")</f>
        <v>P0W</v>
      </c>
      <c r="J42" s="129"/>
    </row>
    <row r="43" spans="2:10" ht="124.5" customHeight="1" x14ac:dyDescent="0.25">
      <c r="B43" s="488" t="s">
        <v>391</v>
      </c>
      <c r="C43" s="489"/>
      <c r="D43" s="455" t="s">
        <v>392</v>
      </c>
      <c r="E43" s="456"/>
      <c r="F43" s="456"/>
      <c r="G43" s="456"/>
      <c r="H43" s="456"/>
      <c r="I43" s="456"/>
      <c r="J43" s="456"/>
    </row>
    <row r="44" spans="2:10" ht="15" customHeight="1" thickBot="1" x14ac:dyDescent="0.3">
      <c r="B44" s="490"/>
      <c r="C44" s="491"/>
      <c r="D44" s="130"/>
      <c r="E44" s="131"/>
      <c r="F44" s="131"/>
      <c r="G44" s="131"/>
      <c r="H44" s="131"/>
      <c r="I44" s="131"/>
      <c r="J44" s="132"/>
    </row>
    <row r="45" spans="2:10" ht="15" customHeight="1" x14ac:dyDescent="0.25">
      <c r="B45" s="490"/>
      <c r="C45" s="491"/>
      <c r="D45" s="133"/>
      <c r="E45" s="134" t="s">
        <v>393</v>
      </c>
      <c r="F45" s="450" t="s">
        <v>1</v>
      </c>
      <c r="G45" s="450"/>
      <c r="H45" s="450"/>
      <c r="I45" s="104" t="s">
        <v>394</v>
      </c>
      <c r="J45" s="135"/>
    </row>
    <row r="46" spans="2:10" ht="15" customHeight="1" x14ac:dyDescent="0.25">
      <c r="B46" s="490"/>
      <c r="C46" s="491"/>
      <c r="D46" s="133"/>
      <c r="E46" s="136">
        <v>1</v>
      </c>
      <c r="F46" s="487" t="s">
        <v>395</v>
      </c>
      <c r="G46" s="487"/>
      <c r="H46" s="487"/>
      <c r="I46" s="11" t="s">
        <v>396</v>
      </c>
      <c r="J46" s="137"/>
    </row>
    <row r="47" spans="2:10" ht="52.5" hidden="1" customHeight="1" outlineLevel="1" x14ac:dyDescent="0.25">
      <c r="B47" s="490"/>
      <c r="C47" s="491"/>
      <c r="D47" s="133"/>
      <c r="E47" s="494" t="s">
        <v>397</v>
      </c>
      <c r="F47" s="495"/>
      <c r="G47" s="495"/>
      <c r="H47" s="495"/>
      <c r="I47" s="496"/>
      <c r="J47" s="137"/>
    </row>
    <row r="48" spans="2:10" ht="15" customHeight="1" collapsed="1" x14ac:dyDescent="0.25">
      <c r="B48" s="490"/>
      <c r="C48" s="491"/>
      <c r="D48" s="133"/>
      <c r="E48" s="136">
        <v>2</v>
      </c>
      <c r="F48" s="487" t="s">
        <v>398</v>
      </c>
      <c r="G48" s="487"/>
      <c r="H48" s="487"/>
      <c r="I48" s="11" t="s">
        <v>399</v>
      </c>
      <c r="J48" s="137"/>
    </row>
    <row r="49" spans="2:10" ht="39" hidden="1" customHeight="1" outlineLevel="1" x14ac:dyDescent="0.25">
      <c r="B49" s="490"/>
      <c r="C49" s="491"/>
      <c r="D49" s="133"/>
      <c r="E49" s="494" t="s">
        <v>400</v>
      </c>
      <c r="F49" s="495"/>
      <c r="G49" s="495"/>
      <c r="H49" s="495"/>
      <c r="I49" s="496"/>
      <c r="J49" s="137"/>
    </row>
    <row r="50" spans="2:10" ht="15" customHeight="1" collapsed="1" x14ac:dyDescent="0.25">
      <c r="B50" s="490"/>
      <c r="C50" s="491"/>
      <c r="D50" s="133"/>
      <c r="E50" s="136">
        <v>3</v>
      </c>
      <c r="F50" s="487" t="s">
        <v>401</v>
      </c>
      <c r="G50" s="487"/>
      <c r="H50" s="487"/>
      <c r="I50" s="11" t="s">
        <v>402</v>
      </c>
      <c r="J50" s="137"/>
    </row>
    <row r="51" spans="2:10" ht="101.25" hidden="1" customHeight="1" outlineLevel="1" x14ac:dyDescent="0.25">
      <c r="B51" s="490"/>
      <c r="C51" s="491"/>
      <c r="D51" s="133"/>
      <c r="E51" s="494" t="s">
        <v>403</v>
      </c>
      <c r="F51" s="495"/>
      <c r="G51" s="495"/>
      <c r="H51" s="495"/>
      <c r="I51" s="496"/>
      <c r="J51" s="137"/>
    </row>
    <row r="52" spans="2:10" ht="15" customHeight="1" collapsed="1" x14ac:dyDescent="0.25">
      <c r="B52" s="490"/>
      <c r="C52" s="491"/>
      <c r="D52" s="133"/>
      <c r="E52" s="136">
        <v>4</v>
      </c>
      <c r="F52" s="487" t="s">
        <v>404</v>
      </c>
      <c r="G52" s="487"/>
      <c r="H52" s="487"/>
      <c r="I52" s="11" t="s">
        <v>405</v>
      </c>
      <c r="J52" s="137"/>
    </row>
    <row r="53" spans="2:10" ht="112.5" hidden="1" customHeight="1" outlineLevel="1" x14ac:dyDescent="0.25">
      <c r="B53" s="490"/>
      <c r="C53" s="491"/>
      <c r="D53" s="133"/>
      <c r="E53" s="497" t="s">
        <v>406</v>
      </c>
      <c r="F53" s="497"/>
      <c r="G53" s="497"/>
      <c r="H53" s="497"/>
      <c r="I53" s="497"/>
      <c r="J53" s="137"/>
    </row>
    <row r="54" spans="2:10" ht="15" customHeight="1" collapsed="1" x14ac:dyDescent="0.25">
      <c r="B54" s="490"/>
      <c r="C54" s="491"/>
      <c r="D54" s="133"/>
      <c r="E54" s="136">
        <v>5</v>
      </c>
      <c r="F54" s="487" t="s">
        <v>407</v>
      </c>
      <c r="G54" s="487"/>
      <c r="H54" s="487"/>
      <c r="I54" s="11" t="s">
        <v>408</v>
      </c>
      <c r="J54" s="137"/>
    </row>
    <row r="55" spans="2:10" ht="243.75" hidden="1" customHeight="1" outlineLevel="1" x14ac:dyDescent="0.25">
      <c r="B55" s="490"/>
      <c r="C55" s="491"/>
      <c r="D55" s="133"/>
      <c r="E55" s="494" t="s">
        <v>409</v>
      </c>
      <c r="F55" s="495"/>
      <c r="G55" s="495"/>
      <c r="H55" s="495"/>
      <c r="I55" s="496"/>
      <c r="J55" s="137"/>
    </row>
    <row r="56" spans="2:10" ht="15" customHeight="1" collapsed="1" x14ac:dyDescent="0.25">
      <c r="B56" s="490"/>
      <c r="C56" s="491"/>
      <c r="D56" s="133"/>
      <c r="E56" s="136">
        <v>6</v>
      </c>
      <c r="F56" s="487" t="s">
        <v>410</v>
      </c>
      <c r="G56" s="487"/>
      <c r="H56" s="487"/>
      <c r="I56" s="11" t="s">
        <v>411</v>
      </c>
      <c r="J56" s="137"/>
    </row>
    <row r="57" spans="2:10" ht="210.75" hidden="1" customHeight="1" outlineLevel="1" x14ac:dyDescent="0.25">
      <c r="B57" s="490"/>
      <c r="C57" s="491"/>
      <c r="D57" s="133"/>
      <c r="E57" s="494" t="s">
        <v>412</v>
      </c>
      <c r="F57" s="495"/>
      <c r="G57" s="495"/>
      <c r="H57" s="495"/>
      <c r="I57" s="496"/>
      <c r="J57" s="137"/>
    </row>
    <row r="58" spans="2:10" ht="15" customHeight="1" collapsed="1" x14ac:dyDescent="0.25">
      <c r="B58" s="490"/>
      <c r="C58" s="491"/>
      <c r="D58" s="133"/>
      <c r="E58" s="136">
        <v>7</v>
      </c>
      <c r="F58" s="487" t="s">
        <v>413</v>
      </c>
      <c r="G58" s="487"/>
      <c r="H58" s="487"/>
      <c r="I58" s="11" t="s">
        <v>414</v>
      </c>
      <c r="J58" s="137"/>
    </row>
    <row r="59" spans="2:10" ht="215.25" hidden="1" customHeight="1" outlineLevel="1" x14ac:dyDescent="0.25">
      <c r="B59" s="490"/>
      <c r="C59" s="491"/>
      <c r="D59" s="133"/>
      <c r="E59" s="497" t="s">
        <v>415</v>
      </c>
      <c r="F59" s="497"/>
      <c r="G59" s="497"/>
      <c r="H59" s="497"/>
      <c r="I59" s="497"/>
      <c r="J59" s="137"/>
    </row>
    <row r="60" spans="2:10" ht="15" customHeight="1" collapsed="1" x14ac:dyDescent="0.25">
      <c r="B60" s="490"/>
      <c r="C60" s="491"/>
      <c r="D60" s="133"/>
      <c r="E60" s="138">
        <v>8</v>
      </c>
      <c r="F60" s="503" t="s">
        <v>416</v>
      </c>
      <c r="G60" s="503"/>
      <c r="H60" s="503"/>
      <c r="J60" s="137"/>
    </row>
    <row r="61" spans="2:10" ht="122.25" hidden="1" customHeight="1" outlineLevel="1" x14ac:dyDescent="0.25">
      <c r="B61" s="490"/>
      <c r="C61" s="491"/>
      <c r="D61" s="133"/>
      <c r="E61" s="497" t="s">
        <v>417</v>
      </c>
      <c r="F61" s="497"/>
      <c r="G61" s="497"/>
      <c r="H61" s="497"/>
      <c r="I61" s="497"/>
      <c r="J61" s="137"/>
    </row>
    <row r="62" spans="2:10" ht="32.25" customHeight="1" collapsed="1" x14ac:dyDescent="0.25">
      <c r="B62" s="490"/>
      <c r="C62" s="491"/>
      <c r="D62" s="133"/>
      <c r="E62" s="139">
        <v>9</v>
      </c>
      <c r="F62" s="505" t="s">
        <v>418</v>
      </c>
      <c r="G62" s="505"/>
      <c r="H62" s="505"/>
      <c r="J62" s="137"/>
    </row>
    <row r="63" spans="2:10" ht="15" customHeight="1" x14ac:dyDescent="0.25">
      <c r="B63" s="490"/>
      <c r="C63" s="491"/>
      <c r="D63" s="133"/>
      <c r="E63" s="136">
        <v>10</v>
      </c>
      <c r="F63" s="487" t="s">
        <v>419</v>
      </c>
      <c r="G63" s="487"/>
      <c r="H63" s="487"/>
      <c r="J63" s="137"/>
    </row>
    <row r="64" spans="2:10" ht="15" customHeight="1" x14ac:dyDescent="0.25">
      <c r="B64" s="492"/>
      <c r="C64" s="493"/>
      <c r="D64" s="133"/>
      <c r="E64" s="140">
        <v>99</v>
      </c>
      <c r="F64" s="506" t="s">
        <v>420</v>
      </c>
      <c r="G64" s="506"/>
      <c r="H64" s="506"/>
      <c r="J64" s="137"/>
    </row>
    <row r="65" spans="2:10" ht="207" customHeight="1" x14ac:dyDescent="0.25">
      <c r="B65" s="498" t="s">
        <v>421</v>
      </c>
      <c r="C65" s="499"/>
      <c r="D65" s="500" t="s">
        <v>783</v>
      </c>
      <c r="E65" s="501"/>
      <c r="F65" s="501"/>
      <c r="G65" s="501"/>
      <c r="H65" s="501"/>
      <c r="I65" s="501"/>
      <c r="J65" s="502"/>
    </row>
    <row r="66" spans="2:10" ht="167.25" customHeight="1" x14ac:dyDescent="0.25">
      <c r="B66" s="480" t="s">
        <v>422</v>
      </c>
      <c r="C66" s="480"/>
      <c r="D66" s="500" t="s">
        <v>784</v>
      </c>
      <c r="E66" s="510"/>
      <c r="F66" s="510"/>
      <c r="G66" s="510"/>
      <c r="H66" s="510"/>
      <c r="I66" s="510"/>
      <c r="J66" s="511"/>
    </row>
    <row r="67" spans="2:10" x14ac:dyDescent="0.25">
      <c r="B67" s="480"/>
      <c r="C67" s="480"/>
      <c r="D67" s="141"/>
      <c r="E67" s="142"/>
      <c r="F67" s="142"/>
      <c r="G67" s="143"/>
      <c r="H67" s="143"/>
      <c r="I67" s="143"/>
      <c r="J67" s="144"/>
    </row>
    <row r="68" spans="2:10" ht="25.5" customHeight="1" x14ac:dyDescent="0.25">
      <c r="B68" s="480"/>
      <c r="C68" s="480"/>
      <c r="D68" s="145"/>
      <c r="E68" s="104" t="s">
        <v>423</v>
      </c>
      <c r="F68" s="104" t="s">
        <v>1</v>
      </c>
      <c r="G68" s="450" t="s">
        <v>394</v>
      </c>
      <c r="H68" s="450"/>
      <c r="I68" s="107"/>
      <c r="J68" s="125"/>
    </row>
    <row r="69" spans="2:10" x14ac:dyDescent="0.25">
      <c r="B69" s="480"/>
      <c r="C69" s="480"/>
      <c r="D69" s="145"/>
      <c r="E69" s="44">
        <v>1</v>
      </c>
      <c r="F69" s="2" t="s">
        <v>424</v>
      </c>
      <c r="G69" s="504" t="s">
        <v>425</v>
      </c>
      <c r="H69" s="504"/>
      <c r="I69" s="107"/>
      <c r="J69" s="125"/>
    </row>
    <row r="70" spans="2:10" x14ac:dyDescent="0.25">
      <c r="B70" s="480"/>
      <c r="C70" s="480"/>
      <c r="D70" s="145"/>
      <c r="E70" s="44">
        <v>2</v>
      </c>
      <c r="F70" s="2" t="s">
        <v>426</v>
      </c>
      <c r="G70" s="504" t="s">
        <v>425</v>
      </c>
      <c r="H70" s="504"/>
      <c r="I70" s="107"/>
      <c r="J70" s="125"/>
    </row>
    <row r="71" spans="2:10" x14ac:dyDescent="0.25">
      <c r="B71" s="480"/>
      <c r="C71" s="480"/>
      <c r="D71" s="145"/>
      <c r="E71" s="44">
        <v>3</v>
      </c>
      <c r="F71" s="2" t="s">
        <v>427</v>
      </c>
      <c r="G71" s="504" t="s">
        <v>425</v>
      </c>
      <c r="H71" s="504"/>
      <c r="I71" s="107"/>
      <c r="J71" s="125"/>
    </row>
    <row r="72" spans="2:10" x14ac:dyDescent="0.25">
      <c r="B72" s="480"/>
      <c r="C72" s="480"/>
      <c r="D72" s="145"/>
      <c r="E72" s="44">
        <v>4</v>
      </c>
      <c r="F72" s="2" t="s">
        <v>428</v>
      </c>
      <c r="G72" s="504" t="s">
        <v>414</v>
      </c>
      <c r="H72" s="504"/>
      <c r="I72" s="107"/>
      <c r="J72" s="125"/>
    </row>
    <row r="73" spans="2:10" x14ac:dyDescent="0.25">
      <c r="B73" s="480"/>
      <c r="C73" s="480"/>
      <c r="D73" s="145"/>
      <c r="E73" s="44">
        <v>5</v>
      </c>
      <c r="F73" s="2" t="s">
        <v>429</v>
      </c>
      <c r="G73" s="504" t="s">
        <v>430</v>
      </c>
      <c r="H73" s="504"/>
      <c r="I73" s="107"/>
      <c r="J73" s="125"/>
    </row>
    <row r="74" spans="2:10" x14ac:dyDescent="0.25">
      <c r="B74" s="480"/>
      <c r="C74" s="480"/>
      <c r="D74" s="145"/>
      <c r="E74" s="44">
        <v>6</v>
      </c>
      <c r="F74" s="2" t="s">
        <v>431</v>
      </c>
      <c r="G74" s="504" t="s">
        <v>432</v>
      </c>
      <c r="H74" s="504"/>
      <c r="I74" s="107"/>
      <c r="J74" s="125"/>
    </row>
    <row r="75" spans="2:10" x14ac:dyDescent="0.25">
      <c r="B75" s="480"/>
      <c r="C75" s="480"/>
      <c r="D75" s="145"/>
      <c r="E75" s="44">
        <v>7</v>
      </c>
      <c r="F75" s="2" t="s">
        <v>433</v>
      </c>
      <c r="G75" s="504" t="s">
        <v>434</v>
      </c>
      <c r="H75" s="504"/>
      <c r="I75" s="107"/>
      <c r="J75" s="125"/>
    </row>
    <row r="76" spans="2:10" x14ac:dyDescent="0.25">
      <c r="B76" s="480"/>
      <c r="C76" s="480"/>
      <c r="D76" s="145"/>
      <c r="E76" s="44">
        <v>8</v>
      </c>
      <c r="F76" s="2" t="s">
        <v>435</v>
      </c>
      <c r="G76" s="504" t="s">
        <v>436</v>
      </c>
      <c r="H76" s="504"/>
      <c r="I76" s="107"/>
      <c r="J76" s="125"/>
    </row>
    <row r="77" spans="2:10" x14ac:dyDescent="0.25">
      <c r="B77" s="480"/>
      <c r="C77" s="480"/>
      <c r="D77" s="145"/>
      <c r="E77" s="146">
        <v>99</v>
      </c>
      <c r="F77" s="147" t="s">
        <v>437</v>
      </c>
      <c r="G77" s="107"/>
      <c r="H77" s="107"/>
      <c r="I77" s="107"/>
      <c r="J77" s="125"/>
    </row>
    <row r="78" spans="2:10" x14ac:dyDescent="0.25">
      <c r="B78" s="480"/>
      <c r="C78" s="480"/>
      <c r="D78" s="148"/>
      <c r="E78" s="128"/>
      <c r="F78" s="128"/>
      <c r="G78" s="128"/>
      <c r="H78" s="128"/>
      <c r="I78" s="128"/>
      <c r="J78" s="129"/>
    </row>
    <row r="79" spans="2:10" ht="315.75" hidden="1" customHeight="1" outlineLevel="1" x14ac:dyDescent="0.25">
      <c r="B79" s="480"/>
      <c r="C79" s="480"/>
      <c r="D79" s="359" t="s">
        <v>438</v>
      </c>
      <c r="E79" s="360"/>
      <c r="F79" s="360"/>
      <c r="G79" s="360"/>
      <c r="H79" s="360"/>
      <c r="I79" s="360"/>
      <c r="J79" s="360"/>
    </row>
    <row r="80" spans="2:10" ht="15" customHeight="1" collapsed="1" x14ac:dyDescent="0.25"/>
    <row r="81" spans="2:10" ht="109.5" customHeight="1" x14ac:dyDescent="0.25">
      <c r="B81" s="480" t="s">
        <v>439</v>
      </c>
      <c r="C81" s="480"/>
      <c r="D81" s="507" t="s">
        <v>440</v>
      </c>
      <c r="E81" s="508"/>
      <c r="F81" s="508"/>
      <c r="G81" s="508"/>
      <c r="H81" s="508"/>
      <c r="I81" s="508"/>
      <c r="J81" s="509"/>
    </row>
    <row r="82" spans="2:10" ht="15" customHeight="1" x14ac:dyDescent="0.25">
      <c r="B82" s="480"/>
      <c r="C82" s="480"/>
      <c r="D82" s="103"/>
      <c r="E82" s="149"/>
      <c r="F82" s="149"/>
      <c r="G82" s="149"/>
      <c r="H82" s="149"/>
      <c r="I82" s="149"/>
      <c r="J82" s="149"/>
    </row>
    <row r="83" spans="2:10" ht="15" hidden="1" customHeight="1" outlineLevel="1" x14ac:dyDescent="0.25">
      <c r="B83" s="480"/>
      <c r="C83" s="480"/>
      <c r="D83" s="103"/>
      <c r="E83" s="134" t="s">
        <v>441</v>
      </c>
      <c r="F83" s="450" t="s">
        <v>1</v>
      </c>
      <c r="G83" s="450"/>
      <c r="H83" s="450"/>
      <c r="I83" s="149"/>
      <c r="J83" s="149"/>
    </row>
    <row r="84" spans="2:10" ht="15" hidden="1" customHeight="1" outlineLevel="1" x14ac:dyDescent="0.25">
      <c r="B84" s="480"/>
      <c r="C84" s="480"/>
      <c r="D84" s="103"/>
      <c r="E84" s="44">
        <v>2</v>
      </c>
      <c r="F84" s="487" t="s">
        <v>442</v>
      </c>
      <c r="G84" s="487"/>
      <c r="H84" s="487"/>
      <c r="I84" s="455" t="s">
        <v>443</v>
      </c>
      <c r="J84" s="456"/>
    </row>
    <row r="85" spans="2:10" ht="15" hidden="1" customHeight="1" outlineLevel="1" x14ac:dyDescent="0.25">
      <c r="B85" s="480"/>
      <c r="C85" s="480"/>
      <c r="D85" s="103"/>
      <c r="E85" s="44">
        <v>3</v>
      </c>
      <c r="F85" s="487" t="s">
        <v>444</v>
      </c>
      <c r="G85" s="487"/>
      <c r="H85" s="487"/>
      <c r="I85" s="456"/>
      <c r="J85" s="456"/>
    </row>
    <row r="86" spans="2:10" ht="15" hidden="1" customHeight="1" outlineLevel="1" x14ac:dyDescent="0.25">
      <c r="B86" s="480"/>
      <c r="C86" s="480"/>
      <c r="D86" s="103"/>
      <c r="E86" s="44">
        <v>4</v>
      </c>
      <c r="F86" s="487" t="s">
        <v>445</v>
      </c>
      <c r="G86" s="487"/>
      <c r="H86" s="487"/>
      <c r="I86" s="456"/>
      <c r="J86" s="456"/>
    </row>
    <row r="87" spans="2:10" ht="33.75" hidden="1" customHeight="1" outlineLevel="1" x14ac:dyDescent="0.25">
      <c r="B87" s="480"/>
      <c r="C87" s="480"/>
      <c r="D87" s="103"/>
      <c r="E87" s="44">
        <v>5</v>
      </c>
      <c r="F87" s="487" t="s">
        <v>446</v>
      </c>
      <c r="G87" s="487"/>
      <c r="H87" s="487"/>
      <c r="I87" s="512" t="s">
        <v>447</v>
      </c>
      <c r="J87" s="513"/>
    </row>
    <row r="88" spans="2:10" ht="33" hidden="1" customHeight="1" outlineLevel="1" x14ac:dyDescent="0.25">
      <c r="B88" s="480"/>
      <c r="C88" s="480"/>
      <c r="D88" s="103"/>
      <c r="E88" s="44">
        <v>6</v>
      </c>
      <c r="F88" s="487" t="s">
        <v>448</v>
      </c>
      <c r="G88" s="487"/>
      <c r="H88" s="487"/>
      <c r="I88" s="513"/>
      <c r="J88" s="513"/>
    </row>
    <row r="89" spans="2:10" ht="15" hidden="1" customHeight="1" outlineLevel="1" x14ac:dyDescent="0.25">
      <c r="B89" s="480"/>
      <c r="C89" s="480"/>
      <c r="D89" s="103"/>
      <c r="E89" s="44">
        <v>7</v>
      </c>
      <c r="F89" s="487" t="s">
        <v>449</v>
      </c>
      <c r="G89" s="487"/>
      <c r="H89" s="487"/>
      <c r="I89" s="513"/>
      <c r="J89" s="513"/>
    </row>
    <row r="90" spans="2:10" ht="15" hidden="1" customHeight="1" outlineLevel="1" x14ac:dyDescent="0.25">
      <c r="B90" s="480"/>
      <c r="C90" s="480"/>
      <c r="D90" s="103"/>
      <c r="E90" s="44">
        <v>8</v>
      </c>
      <c r="F90" s="487" t="s">
        <v>450</v>
      </c>
      <c r="G90" s="487"/>
      <c r="H90" s="487"/>
      <c r="I90" s="513"/>
      <c r="J90" s="513"/>
    </row>
    <row r="91" spans="2:10" ht="15" hidden="1" customHeight="1" outlineLevel="1" x14ac:dyDescent="0.25">
      <c r="B91" s="480"/>
      <c r="C91" s="480"/>
      <c r="D91" s="103"/>
      <c r="E91" s="44">
        <v>9</v>
      </c>
      <c r="F91" s="487" t="s">
        <v>451</v>
      </c>
      <c r="G91" s="487"/>
      <c r="H91" s="487"/>
      <c r="I91" s="513"/>
      <c r="J91" s="513"/>
    </row>
    <row r="92" spans="2:10" ht="15" hidden="1" customHeight="1" outlineLevel="1" x14ac:dyDescent="0.25">
      <c r="B92" s="480"/>
      <c r="C92" s="480"/>
      <c r="D92" s="103"/>
      <c r="E92" s="44">
        <v>10</v>
      </c>
      <c r="F92" s="487" t="s">
        <v>452</v>
      </c>
      <c r="G92" s="487"/>
      <c r="H92" s="487"/>
      <c r="I92" s="513"/>
      <c r="J92" s="513"/>
    </row>
    <row r="93" spans="2:10" ht="15" hidden="1" customHeight="1" outlineLevel="1" x14ac:dyDescent="0.25">
      <c r="B93" s="480"/>
      <c r="C93" s="480"/>
      <c r="D93" s="103"/>
      <c r="E93" s="44">
        <v>11</v>
      </c>
      <c r="F93" s="487" t="s">
        <v>453</v>
      </c>
      <c r="G93" s="487"/>
      <c r="H93" s="487"/>
      <c r="I93" s="513"/>
      <c r="J93" s="513"/>
    </row>
    <row r="94" spans="2:10" ht="15" hidden="1" customHeight="1" outlineLevel="1" x14ac:dyDescent="0.25">
      <c r="B94" s="480"/>
      <c r="C94" s="480"/>
      <c r="D94" s="103"/>
      <c r="E94" s="44">
        <v>12</v>
      </c>
      <c r="F94" s="487" t="s">
        <v>454</v>
      </c>
      <c r="G94" s="487"/>
      <c r="H94" s="487"/>
      <c r="I94" s="513"/>
      <c r="J94" s="513"/>
    </row>
    <row r="95" spans="2:10" ht="15" hidden="1" customHeight="1" outlineLevel="1" x14ac:dyDescent="0.25">
      <c r="B95" s="480"/>
      <c r="C95" s="480"/>
      <c r="D95" s="103"/>
      <c r="E95" s="44">
        <v>13</v>
      </c>
      <c r="F95" s="487" t="s">
        <v>455</v>
      </c>
      <c r="G95" s="487"/>
      <c r="H95" s="487"/>
      <c r="I95" s="513"/>
      <c r="J95" s="513"/>
    </row>
    <row r="96" spans="2:10" hidden="1" outlineLevel="1" x14ac:dyDescent="0.25">
      <c r="B96" s="480"/>
      <c r="C96" s="480"/>
      <c r="E96" s="44">
        <v>99</v>
      </c>
      <c r="F96" s="487" t="s">
        <v>456</v>
      </c>
      <c r="G96" s="487"/>
      <c r="H96" s="487"/>
      <c r="I96" s="513"/>
      <c r="J96" s="513"/>
    </row>
    <row r="97" spans="2:10" hidden="1" outlineLevel="1" x14ac:dyDescent="0.25">
      <c r="B97" s="480"/>
      <c r="C97" s="480"/>
      <c r="E97" s="150"/>
      <c r="F97" s="151"/>
      <c r="G97" s="151"/>
      <c r="H97" s="151"/>
      <c r="I97" s="152"/>
      <c r="J97" s="152"/>
    </row>
    <row r="98" spans="2:10" ht="217.5" hidden="1" customHeight="1" outlineLevel="1" x14ac:dyDescent="0.25">
      <c r="B98" s="480"/>
      <c r="C98" s="480"/>
      <c r="E98" s="359" t="s">
        <v>457</v>
      </c>
      <c r="F98" s="360"/>
      <c r="G98" s="360"/>
      <c r="H98" s="360"/>
      <c r="I98" s="360"/>
      <c r="J98" s="360"/>
    </row>
    <row r="99" spans="2:10" ht="15" customHeight="1" collapsed="1" x14ac:dyDescent="0.25"/>
    <row r="100" spans="2:10" ht="96.75" customHeight="1" x14ac:dyDescent="0.25">
      <c r="B100" s="517" t="s">
        <v>458</v>
      </c>
      <c r="C100" s="517"/>
      <c r="D100" s="455" t="s">
        <v>459</v>
      </c>
      <c r="E100" s="456"/>
      <c r="F100" s="456"/>
      <c r="G100" s="456"/>
      <c r="H100" s="456"/>
      <c r="I100" s="456"/>
      <c r="J100" s="456"/>
    </row>
    <row r="101" spans="2:10" ht="99.75" customHeight="1" x14ac:dyDescent="0.25">
      <c r="B101" s="517" t="s">
        <v>460</v>
      </c>
      <c r="C101" s="517"/>
      <c r="D101" s="455" t="s">
        <v>461</v>
      </c>
      <c r="E101" s="456"/>
      <c r="F101" s="456"/>
      <c r="G101" s="456"/>
      <c r="H101" s="456"/>
      <c r="I101" s="456"/>
      <c r="J101" s="456"/>
    </row>
    <row r="102" spans="2:10" ht="126.75" customHeight="1" x14ac:dyDescent="0.25">
      <c r="B102" s="517" t="s">
        <v>462</v>
      </c>
      <c r="C102" s="517"/>
      <c r="D102" s="466" t="s">
        <v>463</v>
      </c>
      <c r="E102" s="518"/>
      <c r="F102" s="518"/>
      <c r="G102" s="518"/>
      <c r="H102" s="518"/>
      <c r="I102" s="518"/>
      <c r="J102" s="518"/>
    </row>
    <row r="103" spans="2:10" ht="182.25" customHeight="1" x14ac:dyDescent="0.25">
      <c r="B103" s="517" t="s">
        <v>464</v>
      </c>
      <c r="C103" s="517"/>
      <c r="D103" s="455" t="s">
        <v>465</v>
      </c>
      <c r="E103" s="456"/>
      <c r="F103" s="456"/>
      <c r="G103" s="456"/>
      <c r="H103" s="456"/>
      <c r="I103" s="456"/>
      <c r="J103" s="456"/>
    </row>
    <row r="104" spans="2:10" ht="128.25" customHeight="1" x14ac:dyDescent="0.25">
      <c r="B104" s="519" t="s">
        <v>58</v>
      </c>
      <c r="C104" s="520"/>
      <c r="D104" s="455" t="s">
        <v>466</v>
      </c>
      <c r="E104" s="456"/>
      <c r="F104" s="456"/>
      <c r="G104" s="456"/>
      <c r="H104" s="456"/>
      <c r="I104" s="456"/>
      <c r="J104" s="456"/>
    </row>
    <row r="105" spans="2:10" ht="15" customHeight="1" thickBot="1" x14ac:dyDescent="0.3">
      <c r="B105" s="521"/>
      <c r="C105" s="522"/>
      <c r="D105" s="153"/>
      <c r="E105" s="142"/>
      <c r="F105" s="142"/>
      <c r="G105" s="142"/>
      <c r="H105" s="142"/>
      <c r="I105" s="142"/>
      <c r="J105" s="154"/>
    </row>
    <row r="106" spans="2:10" ht="15" customHeight="1" x14ac:dyDescent="0.25">
      <c r="B106" s="521"/>
      <c r="C106" s="522"/>
      <c r="D106" s="121"/>
      <c r="E106" s="155" t="s">
        <v>467</v>
      </c>
      <c r="F106" s="65" t="s">
        <v>1</v>
      </c>
      <c r="J106" s="135"/>
    </row>
    <row r="107" spans="2:10" ht="15" customHeight="1" x14ac:dyDescent="0.25">
      <c r="B107" s="521"/>
      <c r="C107" s="522"/>
      <c r="D107" s="121"/>
      <c r="E107" s="44">
        <v>1</v>
      </c>
      <c r="F107" s="2" t="s">
        <v>468</v>
      </c>
      <c r="G107" s="525" t="s">
        <v>469</v>
      </c>
      <c r="H107" s="525"/>
      <c r="I107" s="525"/>
      <c r="J107" s="525"/>
    </row>
    <row r="108" spans="2:10" ht="15" customHeight="1" x14ac:dyDescent="0.25">
      <c r="B108" s="521"/>
      <c r="C108" s="522"/>
      <c r="D108" s="121"/>
      <c r="E108" s="44">
        <v>2</v>
      </c>
      <c r="F108" s="2" t="s">
        <v>470</v>
      </c>
      <c r="G108" s="525"/>
      <c r="H108" s="525"/>
      <c r="I108" s="525"/>
      <c r="J108" s="525"/>
    </row>
    <row r="109" spans="2:10" ht="15" customHeight="1" x14ac:dyDescent="0.25">
      <c r="B109" s="521"/>
      <c r="C109" s="522"/>
      <c r="D109" s="121"/>
      <c r="E109" s="44">
        <v>3</v>
      </c>
      <c r="F109" s="2" t="s">
        <v>471</v>
      </c>
      <c r="G109" s="525"/>
      <c r="H109" s="525"/>
      <c r="I109" s="525"/>
      <c r="J109" s="525"/>
    </row>
    <row r="110" spans="2:10" ht="15" customHeight="1" x14ac:dyDescent="0.25">
      <c r="B110" s="521"/>
      <c r="C110" s="522"/>
      <c r="D110" s="121"/>
      <c r="E110" s="44">
        <v>4</v>
      </c>
      <c r="F110" s="2" t="s">
        <v>472</v>
      </c>
      <c r="G110" s="525"/>
      <c r="H110" s="525"/>
      <c r="I110" s="525"/>
      <c r="J110" s="525"/>
    </row>
    <row r="111" spans="2:10" ht="15" customHeight="1" x14ac:dyDescent="0.25">
      <c r="B111" s="521"/>
      <c r="C111" s="522"/>
      <c r="D111" s="121"/>
      <c r="E111" s="44">
        <v>5</v>
      </c>
      <c r="F111" s="2" t="s">
        <v>473</v>
      </c>
      <c r="G111" s="525"/>
      <c r="H111" s="525"/>
      <c r="I111" s="525"/>
      <c r="J111" s="525"/>
    </row>
    <row r="112" spans="2:10" ht="15" customHeight="1" x14ac:dyDescent="0.25">
      <c r="B112" s="521"/>
      <c r="C112" s="522"/>
      <c r="D112" s="121"/>
      <c r="E112" s="44">
        <v>6</v>
      </c>
      <c r="F112" s="2" t="s">
        <v>474</v>
      </c>
      <c r="G112" s="525"/>
      <c r="H112" s="525"/>
      <c r="I112" s="525"/>
      <c r="J112" s="525"/>
    </row>
    <row r="113" spans="2:10" ht="15" customHeight="1" x14ac:dyDescent="0.25">
      <c r="B113" s="521"/>
      <c r="C113" s="522"/>
      <c r="D113" s="121"/>
      <c r="E113" s="44">
        <v>7</v>
      </c>
      <c r="F113" s="2" t="s">
        <v>475</v>
      </c>
      <c r="G113" s="525"/>
      <c r="H113" s="525"/>
      <c r="I113" s="525"/>
      <c r="J113" s="525"/>
    </row>
    <row r="114" spans="2:10" ht="15" customHeight="1" x14ac:dyDescent="0.25">
      <c r="B114" s="521"/>
      <c r="C114" s="522"/>
      <c r="D114" s="121"/>
      <c r="E114" s="44">
        <v>8</v>
      </c>
      <c r="F114" s="2" t="s">
        <v>476</v>
      </c>
      <c r="G114" s="525"/>
      <c r="H114" s="525"/>
      <c r="I114" s="525"/>
      <c r="J114" s="525"/>
    </row>
    <row r="115" spans="2:10" ht="15" customHeight="1" x14ac:dyDescent="0.25">
      <c r="B115" s="521"/>
      <c r="C115" s="522"/>
      <c r="D115" s="121"/>
      <c r="E115" s="44">
        <v>9</v>
      </c>
      <c r="F115" s="2" t="s">
        <v>477</v>
      </c>
      <c r="G115" s="525"/>
      <c r="H115" s="525"/>
      <c r="I115" s="525"/>
      <c r="J115" s="525"/>
    </row>
    <row r="116" spans="2:10" ht="15" customHeight="1" x14ac:dyDescent="0.25">
      <c r="B116" s="521"/>
      <c r="C116" s="522"/>
      <c r="D116" s="121"/>
      <c r="E116" s="156">
        <v>10</v>
      </c>
      <c r="F116" s="2" t="s">
        <v>478</v>
      </c>
      <c r="G116" s="525"/>
      <c r="H116" s="525"/>
      <c r="I116" s="525"/>
      <c r="J116" s="525"/>
    </row>
    <row r="117" spans="2:10" ht="15" customHeight="1" x14ac:dyDescent="0.25">
      <c r="B117" s="523"/>
      <c r="C117" s="524"/>
      <c r="D117" s="127"/>
      <c r="E117" s="44">
        <v>99</v>
      </c>
      <c r="F117" s="2" t="s">
        <v>479</v>
      </c>
      <c r="G117" s="525"/>
      <c r="H117" s="525"/>
      <c r="I117" s="525"/>
      <c r="J117" s="525"/>
    </row>
    <row r="118" spans="2:10" ht="324" customHeight="1" x14ac:dyDescent="0.25">
      <c r="B118" s="514" t="s">
        <v>480</v>
      </c>
      <c r="C118" s="515"/>
      <c r="D118" s="516" t="s">
        <v>481</v>
      </c>
      <c r="E118" s="508"/>
      <c r="F118" s="508"/>
      <c r="G118" s="508"/>
      <c r="H118" s="508"/>
      <c r="I118" s="508"/>
      <c r="J118" s="509"/>
    </row>
    <row r="119" spans="2:10" ht="74.25" customHeight="1" x14ac:dyDescent="0.25">
      <c r="B119" s="514" t="s">
        <v>482</v>
      </c>
      <c r="C119" s="515"/>
      <c r="D119" s="516" t="s">
        <v>483</v>
      </c>
      <c r="E119" s="508"/>
      <c r="F119" s="508"/>
      <c r="G119" s="508"/>
      <c r="H119" s="508"/>
      <c r="I119" s="508"/>
      <c r="J119" s="509"/>
    </row>
    <row r="120" spans="2:10" ht="275.25" customHeight="1" x14ac:dyDescent="0.25">
      <c r="B120" s="526" t="s">
        <v>484</v>
      </c>
      <c r="C120" s="527"/>
      <c r="D120" s="507" t="s">
        <v>485</v>
      </c>
      <c r="E120" s="508"/>
      <c r="F120" s="508"/>
      <c r="G120" s="508"/>
      <c r="H120" s="508"/>
      <c r="I120" s="508"/>
      <c r="J120" s="509"/>
    </row>
    <row r="121" spans="2:10" ht="292.5" customHeight="1" x14ac:dyDescent="0.25">
      <c r="B121" s="526" t="s">
        <v>486</v>
      </c>
      <c r="C121" s="527"/>
      <c r="D121" s="528" t="s">
        <v>487</v>
      </c>
      <c r="E121" s="529"/>
      <c r="F121" s="529"/>
      <c r="G121" s="529"/>
      <c r="H121" s="529"/>
      <c r="I121" s="529"/>
      <c r="J121" s="530"/>
    </row>
    <row r="122" spans="2:10" ht="206.25" customHeight="1" x14ac:dyDescent="0.25">
      <c r="B122" s="514" t="s">
        <v>488</v>
      </c>
      <c r="C122" s="515"/>
      <c r="D122" s="516" t="s">
        <v>489</v>
      </c>
      <c r="E122" s="508"/>
      <c r="F122" s="508"/>
      <c r="G122" s="508"/>
      <c r="H122" s="508"/>
      <c r="I122" s="508"/>
      <c r="J122" s="509"/>
    </row>
  </sheetData>
  <mergeCells count="93">
    <mergeCell ref="B122:C122"/>
    <mergeCell ref="D122:J122"/>
    <mergeCell ref="B119:C119"/>
    <mergeCell ref="D119:J119"/>
    <mergeCell ref="B120:C120"/>
    <mergeCell ref="D120:J120"/>
    <mergeCell ref="B121:C121"/>
    <mergeCell ref="D121:J121"/>
    <mergeCell ref="B118:C118"/>
    <mergeCell ref="D118:J118"/>
    <mergeCell ref="E98:J98"/>
    <mergeCell ref="B100:C100"/>
    <mergeCell ref="D100:J100"/>
    <mergeCell ref="B101:C101"/>
    <mergeCell ref="D101:J101"/>
    <mergeCell ref="B102:C102"/>
    <mergeCell ref="D102:J102"/>
    <mergeCell ref="B103:C103"/>
    <mergeCell ref="D103:J103"/>
    <mergeCell ref="B104:C117"/>
    <mergeCell ref="D104:J104"/>
    <mergeCell ref="G107:J117"/>
    <mergeCell ref="I87:J96"/>
    <mergeCell ref="F88:H88"/>
    <mergeCell ref="F89:H89"/>
    <mergeCell ref="F90:H90"/>
    <mergeCell ref="F91:H91"/>
    <mergeCell ref="F92:H92"/>
    <mergeCell ref="F93:H93"/>
    <mergeCell ref="F94:H94"/>
    <mergeCell ref="F95:H95"/>
    <mergeCell ref="F96:H96"/>
    <mergeCell ref="G76:H76"/>
    <mergeCell ref="D79:J79"/>
    <mergeCell ref="B81:C98"/>
    <mergeCell ref="D81:J81"/>
    <mergeCell ref="F83:H83"/>
    <mergeCell ref="F84:H84"/>
    <mergeCell ref="I84:J86"/>
    <mergeCell ref="F85:H85"/>
    <mergeCell ref="F86:H86"/>
    <mergeCell ref="F87:H87"/>
    <mergeCell ref="B66:C79"/>
    <mergeCell ref="D66:J66"/>
    <mergeCell ref="G68:H68"/>
    <mergeCell ref="G69:H69"/>
    <mergeCell ref="G70:H70"/>
    <mergeCell ref="G71:H71"/>
    <mergeCell ref="G72:H72"/>
    <mergeCell ref="G73:H73"/>
    <mergeCell ref="G74:H74"/>
    <mergeCell ref="G75:H75"/>
    <mergeCell ref="E61:I61"/>
    <mergeCell ref="F62:H62"/>
    <mergeCell ref="F63:H63"/>
    <mergeCell ref="F64:H64"/>
    <mergeCell ref="B65:C65"/>
    <mergeCell ref="D65:J65"/>
    <mergeCell ref="E55:I55"/>
    <mergeCell ref="F56:H56"/>
    <mergeCell ref="E57:I57"/>
    <mergeCell ref="F58:H58"/>
    <mergeCell ref="E59:I59"/>
    <mergeCell ref="F60:H60"/>
    <mergeCell ref="F54:H54"/>
    <mergeCell ref="B34:C34"/>
    <mergeCell ref="D34:J34"/>
    <mergeCell ref="B35:C42"/>
    <mergeCell ref="D35:J35"/>
    <mergeCell ref="B43:C64"/>
    <mergeCell ref="D43:J43"/>
    <mergeCell ref="F45:H45"/>
    <mergeCell ref="F46:H46"/>
    <mergeCell ref="E47:I47"/>
    <mergeCell ref="F48:H48"/>
    <mergeCell ref="E49:I49"/>
    <mergeCell ref="F50:H50"/>
    <mergeCell ref="E51:I51"/>
    <mergeCell ref="F52:H52"/>
    <mergeCell ref="E53:I53"/>
    <mergeCell ref="B31:C31"/>
    <mergeCell ref="D31:J31"/>
    <mergeCell ref="B32:C32"/>
    <mergeCell ref="D32:J32"/>
    <mergeCell ref="B33:C33"/>
    <mergeCell ref="D33:J33"/>
    <mergeCell ref="B30:C30"/>
    <mergeCell ref="D30:J30"/>
    <mergeCell ref="B16:J16"/>
    <mergeCell ref="B19:J19"/>
    <mergeCell ref="B28:J28"/>
    <mergeCell ref="B29:C29"/>
    <mergeCell ref="D29:J29"/>
  </mergeCells>
  <hyperlinks>
    <hyperlink ref="I3" location="FUNDAMENTO!A268" display="Nodo receptor" xr:uid="{242F63BE-CE9A-4780-945C-F967824475C9}"/>
    <hyperlink ref="B120:C120" location="FSBC!F6" display="Salario base cuota aportación" xr:uid="{3A5EE401-C8DB-465C-85B5-E25AD3D3A183}"/>
    <hyperlink ref="B121" location="DSDI!C6" display="Salario diario integrado" xr:uid="{634F6B89-26FF-4089-8F62-F9089CC4097E}"/>
  </hyperlinks>
  <pageMargins left="0.7" right="0.7" top="0.75" bottom="0.75" header="0.3" footer="0.3"/>
  <pageSetup paperSize="9" orientation="portrait"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C936C677-222D-4ED0-BB68-ED0CFBF1A41F}">
            <xm:f>IF(CONTRA=GENERAL!B$107,1,0)</xm:f>
            <x14:dxf>
              <font>
                <color theme="1"/>
              </font>
            </x14:dxf>
          </x14:cfRule>
          <xm:sqref>D29:J34 D65:J66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D61F-95FF-40DB-9B65-7E2FD5609E46}">
  <sheetPr codeName="Hoja4"/>
  <dimension ref="B3:G59"/>
  <sheetViews>
    <sheetView showGridLines="0" topLeftCell="A21" workbookViewId="0">
      <selection activeCell="E5" sqref="E5"/>
    </sheetView>
  </sheetViews>
  <sheetFormatPr baseColWidth="10" defaultRowHeight="15" x14ac:dyDescent="0.25"/>
  <cols>
    <col min="2" max="2" width="19.28515625" customWidth="1"/>
    <col min="3" max="3" width="15.28515625" customWidth="1"/>
    <col min="4" max="4" width="19" customWidth="1"/>
    <col min="5" max="6" width="18.140625" customWidth="1"/>
    <col min="7" max="7" width="19" customWidth="1"/>
  </cols>
  <sheetData>
    <row r="3" spans="2:7" ht="15.75" thickBot="1" x14ac:dyDescent="0.3">
      <c r="B3" s="40" t="s">
        <v>678</v>
      </c>
    </row>
    <row r="4" spans="2:7" ht="45.75" thickBot="1" x14ac:dyDescent="0.3">
      <c r="B4" s="531" t="s">
        <v>679</v>
      </c>
      <c r="C4" s="532"/>
      <c r="D4" s="246" t="s">
        <v>680</v>
      </c>
      <c r="E4" s="246" t="s">
        <v>681</v>
      </c>
      <c r="F4" s="246" t="s">
        <v>682</v>
      </c>
      <c r="G4" s="246" t="s">
        <v>683</v>
      </c>
    </row>
    <row r="5" spans="2:7" ht="15.75" thickBot="1" x14ac:dyDescent="0.3">
      <c r="B5" s="247">
        <v>46023</v>
      </c>
      <c r="C5" s="247">
        <v>46029</v>
      </c>
      <c r="D5" s="262">
        <f>IF(AND(B5&lt;&gt;"",C5&lt;&gt;""),DATEDIF(B5,C5,"D")+1,"")</f>
        <v>7</v>
      </c>
      <c r="E5" s="248">
        <v>70</v>
      </c>
      <c r="F5" s="249">
        <v>50</v>
      </c>
      <c r="G5" s="250">
        <f>IFERROR(E5*F5,"")</f>
        <v>3500</v>
      </c>
    </row>
    <row r="6" spans="2:7" ht="15.75" thickBot="1" x14ac:dyDescent="0.3">
      <c r="B6" s="247">
        <f>C5+1</f>
        <v>46030</v>
      </c>
      <c r="C6" s="247">
        <f>C5+6</f>
        <v>46035</v>
      </c>
      <c r="D6" s="262">
        <f t="shared" ref="D6:D10" si="0">IF(AND(B6&lt;&gt;"",C6&lt;&gt;""),DATEDIF(B6,C6,"D")+1,"")</f>
        <v>6</v>
      </c>
      <c r="E6" s="248">
        <v>60</v>
      </c>
      <c r="F6" s="249">
        <v>50</v>
      </c>
      <c r="G6" s="250">
        <f t="shared" ref="G6:G10" si="1">IFERROR(E6*F6,"")</f>
        <v>3000</v>
      </c>
    </row>
    <row r="7" spans="2:7" ht="15.75" thickBot="1" x14ac:dyDescent="0.3">
      <c r="B7" s="247">
        <f>C6+1</f>
        <v>46036</v>
      </c>
      <c r="C7" s="247">
        <f>B7+6</f>
        <v>46042</v>
      </c>
      <c r="D7" s="262">
        <f t="shared" si="0"/>
        <v>7</v>
      </c>
      <c r="E7" s="248">
        <v>80</v>
      </c>
      <c r="F7" s="249">
        <v>50</v>
      </c>
      <c r="G7" s="250">
        <f t="shared" si="1"/>
        <v>4000</v>
      </c>
    </row>
    <row r="8" spans="2:7" ht="15.75" thickBot="1" x14ac:dyDescent="0.3">
      <c r="B8" s="247">
        <f>C7+1</f>
        <v>46043</v>
      </c>
      <c r="C8" s="247">
        <f>B8+6</f>
        <v>46049</v>
      </c>
      <c r="D8" s="262">
        <f t="shared" si="0"/>
        <v>7</v>
      </c>
      <c r="E8" s="248">
        <v>75</v>
      </c>
      <c r="F8" s="249">
        <v>50</v>
      </c>
      <c r="G8" s="250">
        <f t="shared" si="1"/>
        <v>3750</v>
      </c>
    </row>
    <row r="9" spans="2:7" ht="15.75" thickBot="1" x14ac:dyDescent="0.3">
      <c r="B9" s="247">
        <f t="shared" ref="B9" si="2">C8+1</f>
        <v>46050</v>
      </c>
      <c r="C9" s="247">
        <v>46052</v>
      </c>
      <c r="D9" s="262">
        <f t="shared" si="0"/>
        <v>3</v>
      </c>
      <c r="E9" s="248">
        <v>65</v>
      </c>
      <c r="F9" s="249">
        <v>50</v>
      </c>
      <c r="G9" s="250">
        <f t="shared" si="1"/>
        <v>3250</v>
      </c>
    </row>
    <row r="10" spans="2:7" ht="15.75" thickBot="1" x14ac:dyDescent="0.3">
      <c r="B10" s="247"/>
      <c r="C10" s="247"/>
      <c r="D10" s="262" t="str">
        <f t="shared" si="0"/>
        <v/>
      </c>
      <c r="E10" s="248">
        <v>20</v>
      </c>
      <c r="F10" s="249">
        <v>50</v>
      </c>
      <c r="G10" s="250">
        <f t="shared" si="1"/>
        <v>1000</v>
      </c>
    </row>
    <row r="11" spans="2:7" ht="15.75" thickBot="1" x14ac:dyDescent="0.3">
      <c r="B11" s="251" t="s">
        <v>251</v>
      </c>
      <c r="C11" s="251"/>
      <c r="D11" s="252">
        <f>SUM(D5:D10)</f>
        <v>30</v>
      </c>
      <c r="E11" s="251"/>
      <c r="F11" s="251"/>
      <c r="G11" s="253">
        <f>SUM(G5:G10)</f>
        <v>18500</v>
      </c>
    </row>
    <row r="14" spans="2:7" x14ac:dyDescent="0.25">
      <c r="B14" s="533" t="s">
        <v>684</v>
      </c>
      <c r="C14" s="533"/>
      <c r="D14" s="254">
        <f>G11</f>
        <v>18500</v>
      </c>
      <c r="E14" s="534" t="str">
        <f>"=      "&amp;IFERROR(ROUND(D14/D15,2),"")</f>
        <v>=      616.67</v>
      </c>
    </row>
    <row r="15" spans="2:7" x14ac:dyDescent="0.25">
      <c r="B15" s="533"/>
      <c r="C15" s="533"/>
      <c r="D15" s="107">
        <f>D11</f>
        <v>30</v>
      </c>
      <c r="E15" s="534"/>
    </row>
    <row r="18" spans="2:3" x14ac:dyDescent="0.25">
      <c r="B18" s="40" t="s">
        <v>685</v>
      </c>
    </row>
    <row r="19" spans="2:3" x14ac:dyDescent="0.25">
      <c r="B19" s="40" t="s">
        <v>149</v>
      </c>
      <c r="C19" s="51">
        <v>46023</v>
      </c>
    </row>
    <row r="20" spans="2:3" x14ac:dyDescent="0.25">
      <c r="B20" s="40" t="s">
        <v>686</v>
      </c>
      <c r="C20" s="255">
        <f>IFERROR(IF(C19&lt;&gt;"",C19-30,""),"")</f>
        <v>45993</v>
      </c>
    </row>
    <row r="21" spans="2:3" ht="30" x14ac:dyDescent="0.25">
      <c r="B21" s="256" t="s">
        <v>687</v>
      </c>
      <c r="C21" s="257"/>
    </row>
    <row r="23" spans="2:3" ht="30" x14ac:dyDescent="0.25">
      <c r="B23" s="6" t="s">
        <v>688</v>
      </c>
      <c r="C23" s="258" t="s">
        <v>689</v>
      </c>
    </row>
    <row r="24" spans="2:3" x14ac:dyDescent="0.25">
      <c r="B24" s="259">
        <f>IF(C20&lt;&gt;"",C20,"")</f>
        <v>45993</v>
      </c>
      <c r="C24" s="15"/>
    </row>
    <row r="25" spans="2:3" x14ac:dyDescent="0.25">
      <c r="B25" s="259">
        <f>IFERROR(B24+1,"")</f>
        <v>45994</v>
      </c>
      <c r="C25" s="15"/>
    </row>
    <row r="26" spans="2:3" x14ac:dyDescent="0.25">
      <c r="B26" s="259">
        <f t="shared" ref="B26:B54" si="3">IFERROR(B25+1,"")</f>
        <v>45995</v>
      </c>
      <c r="C26" s="15">
        <v>6000</v>
      </c>
    </row>
    <row r="27" spans="2:3" x14ac:dyDescent="0.25">
      <c r="B27" s="259">
        <f t="shared" si="3"/>
        <v>45996</v>
      </c>
      <c r="C27" s="15"/>
    </row>
    <row r="28" spans="2:3" x14ac:dyDescent="0.25">
      <c r="B28" s="259">
        <f t="shared" si="3"/>
        <v>45997</v>
      </c>
      <c r="C28" s="15"/>
    </row>
    <row r="29" spans="2:3" x14ac:dyDescent="0.25">
      <c r="B29" s="259">
        <f t="shared" si="3"/>
        <v>45998</v>
      </c>
      <c r="C29" s="15"/>
    </row>
    <row r="30" spans="2:3" x14ac:dyDescent="0.25">
      <c r="B30" s="259">
        <f t="shared" si="3"/>
        <v>45999</v>
      </c>
      <c r="C30" s="15"/>
    </row>
    <row r="31" spans="2:3" x14ac:dyDescent="0.25">
      <c r="B31" s="259">
        <f t="shared" si="3"/>
        <v>46000</v>
      </c>
      <c r="C31" s="15"/>
    </row>
    <row r="32" spans="2:3" x14ac:dyDescent="0.25">
      <c r="B32" s="259">
        <f t="shared" si="3"/>
        <v>46001</v>
      </c>
      <c r="C32" s="15"/>
    </row>
    <row r="33" spans="2:3" x14ac:dyDescent="0.25">
      <c r="B33" s="259">
        <f t="shared" si="3"/>
        <v>46002</v>
      </c>
      <c r="C33" s="15"/>
    </row>
    <row r="34" spans="2:3" x14ac:dyDescent="0.25">
      <c r="B34" s="259">
        <f t="shared" si="3"/>
        <v>46003</v>
      </c>
      <c r="C34" s="15"/>
    </row>
    <row r="35" spans="2:3" x14ac:dyDescent="0.25">
      <c r="B35" s="259">
        <f t="shared" si="3"/>
        <v>46004</v>
      </c>
      <c r="C35" s="15">
        <v>3600</v>
      </c>
    </row>
    <row r="36" spans="2:3" x14ac:dyDescent="0.25">
      <c r="B36" s="259">
        <f t="shared" si="3"/>
        <v>46005</v>
      </c>
      <c r="C36" s="15"/>
    </row>
    <row r="37" spans="2:3" x14ac:dyDescent="0.25">
      <c r="B37" s="259">
        <f t="shared" si="3"/>
        <v>46006</v>
      </c>
      <c r="C37" s="15"/>
    </row>
    <row r="38" spans="2:3" x14ac:dyDescent="0.25">
      <c r="B38" s="259">
        <f t="shared" si="3"/>
        <v>46007</v>
      </c>
      <c r="C38" s="15"/>
    </row>
    <row r="39" spans="2:3" x14ac:dyDescent="0.25">
      <c r="B39" s="259">
        <f t="shared" si="3"/>
        <v>46008</v>
      </c>
      <c r="C39" s="15"/>
    </row>
    <row r="40" spans="2:3" x14ac:dyDescent="0.25">
      <c r="B40" s="259">
        <f>IFERROR(B39+1,"")</f>
        <v>46009</v>
      </c>
      <c r="C40" s="15"/>
    </row>
    <row r="41" spans="2:3" x14ac:dyDescent="0.25">
      <c r="B41" s="259">
        <f t="shared" si="3"/>
        <v>46010</v>
      </c>
      <c r="C41" s="15"/>
    </row>
    <row r="42" spans="2:3" x14ac:dyDescent="0.25">
      <c r="B42" s="259">
        <f t="shared" si="3"/>
        <v>46011</v>
      </c>
      <c r="C42" s="15"/>
    </row>
    <row r="43" spans="2:3" x14ac:dyDescent="0.25">
      <c r="B43" s="259">
        <f t="shared" si="3"/>
        <v>46012</v>
      </c>
      <c r="C43" s="15"/>
    </row>
    <row r="44" spans="2:3" x14ac:dyDescent="0.25">
      <c r="B44" s="259">
        <f t="shared" si="3"/>
        <v>46013</v>
      </c>
      <c r="C44" s="15">
        <v>2800</v>
      </c>
    </row>
    <row r="45" spans="2:3" x14ac:dyDescent="0.25">
      <c r="B45" s="259">
        <f t="shared" si="3"/>
        <v>46014</v>
      </c>
      <c r="C45" s="15"/>
    </row>
    <row r="46" spans="2:3" x14ac:dyDescent="0.25">
      <c r="B46" s="259">
        <f t="shared" si="3"/>
        <v>46015</v>
      </c>
      <c r="C46" s="15"/>
    </row>
    <row r="47" spans="2:3" x14ac:dyDescent="0.25">
      <c r="B47" s="259">
        <f t="shared" si="3"/>
        <v>46016</v>
      </c>
      <c r="C47" s="15"/>
    </row>
    <row r="48" spans="2:3" x14ac:dyDescent="0.25">
      <c r="B48" s="259">
        <f t="shared" si="3"/>
        <v>46017</v>
      </c>
      <c r="C48" s="15"/>
    </row>
    <row r="49" spans="2:6" x14ac:dyDescent="0.25">
      <c r="B49" s="259">
        <f t="shared" si="3"/>
        <v>46018</v>
      </c>
      <c r="C49" s="15"/>
    </row>
    <row r="50" spans="2:6" x14ac:dyDescent="0.25">
      <c r="B50" s="259">
        <f t="shared" si="3"/>
        <v>46019</v>
      </c>
      <c r="C50" s="15">
        <v>1900</v>
      </c>
    </row>
    <row r="51" spans="2:6" x14ac:dyDescent="0.25">
      <c r="B51" s="259">
        <f t="shared" si="3"/>
        <v>46020</v>
      </c>
      <c r="C51" s="15"/>
    </row>
    <row r="52" spans="2:6" x14ac:dyDescent="0.25">
      <c r="B52" s="259">
        <f t="shared" si="3"/>
        <v>46021</v>
      </c>
      <c r="C52" s="15"/>
    </row>
    <row r="53" spans="2:6" x14ac:dyDescent="0.25">
      <c r="B53" s="259">
        <f t="shared" si="3"/>
        <v>46022</v>
      </c>
      <c r="C53" s="15"/>
    </row>
    <row r="54" spans="2:6" ht="16.5" x14ac:dyDescent="0.25">
      <c r="B54" s="259">
        <f t="shared" si="3"/>
        <v>46023</v>
      </c>
      <c r="C54" s="15"/>
      <c r="F54" s="260"/>
    </row>
    <row r="55" spans="2:6" x14ac:dyDescent="0.25">
      <c r="B55" s="107" t="s">
        <v>326</v>
      </c>
      <c r="C55" s="12">
        <f>SUM(C24:C54)</f>
        <v>14300</v>
      </c>
    </row>
    <row r="58" spans="2:6" x14ac:dyDescent="0.25">
      <c r="B58" s="533" t="s">
        <v>684</v>
      </c>
      <c r="C58" s="533"/>
      <c r="D58" s="261">
        <f ca="1">IFERROR(IF(C21="",C55,SUM(INDIRECT(ADDRESS(MATCH(C21,B24:B54,0)+23,3)):C54)),0)</f>
        <v>14300</v>
      </c>
      <c r="E58" s="535" t="str">
        <f ca="1">"=      "&amp;IFERROR(DOLLAR(ROUND(D58/D59,2),2),"")</f>
        <v>=      $476.67</v>
      </c>
    </row>
    <row r="59" spans="2:6" x14ac:dyDescent="0.25">
      <c r="B59" s="533"/>
      <c r="C59" s="533"/>
      <c r="D59" s="107">
        <f ca="1">IFERROR(IF(C21="",30,COUNTA(INDIRECT(ADDRESS(MATCH(C21,B24:B54,0)+23,2)):B54)),0)</f>
        <v>30</v>
      </c>
      <c r="E59" s="535"/>
    </row>
  </sheetData>
  <mergeCells count="5">
    <mergeCell ref="B4:C4"/>
    <mergeCell ref="B14:C15"/>
    <mergeCell ref="E14:E15"/>
    <mergeCell ref="B58:C59"/>
    <mergeCell ref="E58:E5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B156A-642F-4CDF-B81C-2811345394D9}">
  <sheetPr codeName="Hoja5"/>
  <dimension ref="A5:K88"/>
  <sheetViews>
    <sheetView showGridLines="0" topLeftCell="A65" zoomScale="110" zoomScaleNormal="110" workbookViewId="0">
      <selection activeCell="D7" sqref="D7"/>
    </sheetView>
  </sheetViews>
  <sheetFormatPr baseColWidth="10" defaultColWidth="9.140625" defaultRowHeight="15" x14ac:dyDescent="0.25"/>
  <cols>
    <col min="2" max="2" width="38.5703125" customWidth="1"/>
    <col min="3" max="3" width="19.140625" customWidth="1"/>
    <col min="4" max="4" width="30.28515625" customWidth="1"/>
    <col min="5" max="5" width="3.140625" customWidth="1"/>
    <col min="6" max="6" width="29" customWidth="1"/>
    <col min="7" max="7" width="17.140625" customWidth="1"/>
    <col min="8" max="8" width="20" customWidth="1"/>
    <col min="9" max="9" width="18.7109375" customWidth="1"/>
  </cols>
  <sheetData>
    <row r="5" spans="2:10" ht="18.75" x14ac:dyDescent="0.3">
      <c r="B5" s="541" t="s">
        <v>179</v>
      </c>
      <c r="C5" s="541"/>
      <c r="D5" s="541"/>
      <c r="E5" s="541"/>
      <c r="F5" s="541"/>
      <c r="G5" s="541"/>
      <c r="H5" s="541"/>
      <c r="I5" s="541"/>
    </row>
    <row r="6" spans="2:10" ht="18.75" x14ac:dyDescent="0.3">
      <c r="B6" s="53"/>
      <c r="C6" s="53"/>
      <c r="D6" s="53"/>
      <c r="E6" s="53"/>
      <c r="F6" s="53"/>
      <c r="G6" s="53"/>
      <c r="H6" s="53"/>
      <c r="I6" s="53"/>
    </row>
    <row r="7" spans="2:10" x14ac:dyDescent="0.25">
      <c r="B7" s="14" t="s">
        <v>149</v>
      </c>
      <c r="D7" s="51">
        <f ca="1">TODAY()</f>
        <v>46226</v>
      </c>
    </row>
    <row r="9" spans="2:10" x14ac:dyDescent="0.25">
      <c r="B9" s="542" t="s">
        <v>690</v>
      </c>
      <c r="C9" s="542"/>
      <c r="D9" s="542"/>
      <c r="E9" s="542"/>
      <c r="F9" s="542"/>
      <c r="G9" s="542"/>
      <c r="H9" s="542"/>
      <c r="I9" s="542"/>
    </row>
    <row r="11" spans="2:10" x14ac:dyDescent="0.25">
      <c r="B11" s="404" t="s">
        <v>148</v>
      </c>
      <c r="C11" s="543"/>
      <c r="D11" s="46">
        <v>45658</v>
      </c>
      <c r="F11" s="58" t="s">
        <v>188</v>
      </c>
    </row>
    <row r="12" spans="2:10" x14ac:dyDescent="0.25">
      <c r="B12" s="404" t="s">
        <v>149</v>
      </c>
      <c r="C12" s="543"/>
      <c r="D12" s="46">
        <f ca="1">TODAY()</f>
        <v>46226</v>
      </c>
      <c r="G12" s="38" t="s">
        <v>190</v>
      </c>
      <c r="H12" s="38" t="s">
        <v>191</v>
      </c>
    </row>
    <row r="13" spans="2:10" x14ac:dyDescent="0.25">
      <c r="B13" s="404" t="str">
        <f>IFERROR(IF(CONTRA=GENERAL!$B$107,IF(ISODD(MONTH(D7)),"Días devengados del bimestre a calcular",""),""),"")</f>
        <v/>
      </c>
      <c r="C13" s="543"/>
      <c r="D13">
        <v>61</v>
      </c>
      <c r="F13" s="40" t="s">
        <v>189</v>
      </c>
      <c r="G13" s="59">
        <v>0.11</v>
      </c>
      <c r="H13" s="59">
        <v>0.11</v>
      </c>
      <c r="I13" s="13" t="str">
        <f>IFERROR(IF(CONTRA=GENERAL!$B$107,IF(G13=H13,"No integra al SBC","Integra $"&amp;ROUND(D14*G13,2)),""),"")</f>
        <v/>
      </c>
    </row>
    <row r="14" spans="2:10" x14ac:dyDescent="0.25">
      <c r="B14" s="404" t="s">
        <v>180</v>
      </c>
      <c r="C14" s="543"/>
      <c r="D14" s="55">
        <v>500</v>
      </c>
      <c r="F14" s="40" t="s">
        <v>42</v>
      </c>
      <c r="G14" s="52" t="s">
        <v>54</v>
      </c>
      <c r="H14" s="60" t="str">
        <f>IF(G14="Sí","Cobro al trabajador","")</f>
        <v>Cobro al trabajador</v>
      </c>
      <c r="I14" s="12">
        <v>20</v>
      </c>
      <c r="J14" s="40" t="str">
        <f>IFERROR(IF(H14&lt;&gt;"",IF(I14&gt;=ROUND(D20*0.2,2),"No integra","Integra "&amp;TEXT(0.25,"0%")&amp;" del salario"),""),"")</f>
        <v>Integra 25% del salario</v>
      </c>
    </row>
    <row r="15" spans="2:10" x14ac:dyDescent="0.25">
      <c r="B15" s="404" t="s">
        <v>181</v>
      </c>
      <c r="C15" s="543"/>
      <c r="D15" s="56">
        <v>15</v>
      </c>
      <c r="F15" s="40" t="s">
        <v>192</v>
      </c>
      <c r="G15" s="52">
        <v>1</v>
      </c>
      <c r="H15" s="60" t="str">
        <f>IFERROR(IF(CONTRA=GENERAL!$B$107,IF(G15&lt;&gt;"","Cobro al trabajador",""),""),"")</f>
        <v/>
      </c>
      <c r="I15" s="28">
        <v>20</v>
      </c>
    </row>
    <row r="16" spans="2:10" x14ac:dyDescent="0.25">
      <c r="B16" s="404" t="s">
        <v>182</v>
      </c>
      <c r="C16" s="543"/>
      <c r="D16" s="47">
        <f ca="1">IFERROR(VLOOKUP(VALUE(DATEDIF(D11,D12,"y")&amp;"."&amp;DATEDIF(D11,D12,"YM")&amp;DATEDIF(D11,D12,"MD")),TABLAV,3),"")</f>
        <v>14</v>
      </c>
      <c r="F16" s="40" t="s">
        <v>193</v>
      </c>
      <c r="G16" s="28">
        <v>50</v>
      </c>
      <c r="H16" s="40" t="str">
        <f>IFERROR(IF(G16&lt;&gt;"",IF(G16&gt;ROUND(D20*0.4,2),"Integra $"&amp;ROUND(G16-(D20*0.4),2),""),""),"")</f>
        <v>Integra $4.74</v>
      </c>
    </row>
    <row r="17" spans="2:4" x14ac:dyDescent="0.25">
      <c r="B17" s="404" t="s">
        <v>183</v>
      </c>
      <c r="C17" s="543"/>
      <c r="D17" s="57">
        <v>0.25</v>
      </c>
    </row>
    <row r="18" spans="2:4" x14ac:dyDescent="0.25">
      <c r="B18" s="404" t="s">
        <v>92</v>
      </c>
      <c r="C18" s="543"/>
      <c r="D18" s="52" t="s">
        <v>84</v>
      </c>
    </row>
    <row r="19" spans="2:4" x14ac:dyDescent="0.25">
      <c r="B19" s="404" t="s">
        <v>82</v>
      </c>
      <c r="C19" s="543"/>
      <c r="D19" s="21" t="str">
        <f>IFERROR(IF(CONTRA=GENERAL!$B$107,VLOOKUP(D18,GENERAL!$B$21:$C$22,2,FALSE),""),"")</f>
        <v/>
      </c>
    </row>
    <row r="20" spans="2:4" x14ac:dyDescent="0.25">
      <c r="B20" s="404" t="s">
        <v>184</v>
      </c>
      <c r="C20" s="543"/>
      <c r="D20" s="52">
        <v>113.14</v>
      </c>
    </row>
    <row r="22" spans="2:4" x14ac:dyDescent="0.25">
      <c r="B22" s="536" t="s">
        <v>490</v>
      </c>
      <c r="C22" s="537"/>
      <c r="D22" s="538"/>
    </row>
    <row r="24" spans="2:4" x14ac:dyDescent="0.25">
      <c r="B24" s="404" t="s">
        <v>185</v>
      </c>
      <c r="C24" s="404"/>
      <c r="D24" s="157" t="str">
        <f>IFERROR(IF(CONTRA=GENERAL!$B$107,ROUND(1+(D15/365)+(D16/365*D17),4),""),"")</f>
        <v/>
      </c>
    </row>
    <row r="25" spans="2:4" x14ac:dyDescent="0.25">
      <c r="B25" s="404" t="s">
        <v>186</v>
      </c>
      <c r="C25" s="404"/>
      <c r="D25" s="287" t="str">
        <f>IFERROR(IF(CONTRA=GENERAL!$B$107,ROUND(D14*D24,2),""),"")</f>
        <v/>
      </c>
    </row>
    <row r="26" spans="2:4" x14ac:dyDescent="0.25">
      <c r="B26" s="404" t="s">
        <v>194</v>
      </c>
      <c r="C26" s="404"/>
      <c r="D26" s="287" t="str">
        <f>IFERROR(IF(CONTRA=GENERAL!$B$107,IF(ISNUMBER(I13),I13,0),""),"")</f>
        <v/>
      </c>
    </row>
    <row r="27" spans="2:4" x14ac:dyDescent="0.25">
      <c r="B27" s="33" t="s">
        <v>42</v>
      </c>
      <c r="C27" s="33"/>
      <c r="D27" s="287">
        <f>IFERROR(IF(J14&lt;&gt;"",ROUND(D14*0.25,2),0),0)</f>
        <v>125</v>
      </c>
    </row>
    <row r="28" spans="2:4" x14ac:dyDescent="0.25">
      <c r="B28" s="404" t="s">
        <v>195</v>
      </c>
      <c r="C28" s="404"/>
      <c r="D28" s="287" t="str">
        <f>IFERROR(IF(CONTRA=GENERAL!B107,IF(I15&lt;ROUND(D20*0.2,2),IF(G15=1,ROUND(D14*0.0833,2),IF(G15=2,ROUND(D14*0.1666,2),ROUND(D14*0.25,2))),0),""),"")</f>
        <v/>
      </c>
    </row>
    <row r="29" spans="2:4" x14ac:dyDescent="0.25">
      <c r="B29" s="404" t="s">
        <v>196</v>
      </c>
      <c r="C29" s="404"/>
      <c r="D29" s="287" t="str">
        <f>IFERROR(IF(CONTRA=GENERAL!$B$107,IF(G16&gt;ROUND(D20*0.4,2),ROUND(G16-D20*0.4,2),0),""),"")</f>
        <v/>
      </c>
    </row>
    <row r="30" spans="2:4" x14ac:dyDescent="0.25">
      <c r="B30" s="404" t="str">
        <f ca="1">IFERROR(IF(ISODD(MONTH(D7)),"(+) Variables del bimestre anterior ("&amp;TEXT(EOMONTH(D7,-2),"mmmm")&amp;"-"&amp;TEXT(EOMONTH(D7,-1),"mmmm")&amp; " " &amp; IF(MONTH(D7)=1,YEAR(D7)-1,YEAR(D7))&amp;")",""),"")</f>
        <v>(+) Variables del bimestre anterior (mayo-junio 2026)</v>
      </c>
      <c r="C30" s="404"/>
      <c r="D30" s="54"/>
    </row>
    <row r="31" spans="2:4" x14ac:dyDescent="0.25">
      <c r="B31" s="61" t="str">
        <f ca="1">IF($B$30&lt;&gt;"","Premio de puntualidad " &amp;TEXT(EOMONTH($D$7,-2),"mmmm"),"")</f>
        <v>Premio de puntualidad mayo</v>
      </c>
      <c r="C31" s="15">
        <v>1500</v>
      </c>
      <c r="D31" s="157"/>
    </row>
    <row r="32" spans="2:4" x14ac:dyDescent="0.25">
      <c r="B32" s="61" t="str">
        <f ca="1">IF($B$30&lt;&gt;"","Premio de puntualidad " &amp;TEXT(EOMONTH($D$7,-1),"mmmm"),"")</f>
        <v>Premio de puntualidad junio</v>
      </c>
      <c r="C32" s="15">
        <v>1500</v>
      </c>
      <c r="D32" s="274" t="str">
        <f>IFERROR(IF(CONTRA=GENERAL!$B$107,IF(ROUND((C31+C32)/$D$13,2)&gt;=(SUMIF($D$25:$D$29,"&gt;0")*0.1),ROUND(((C31+C32)/$D$13)-(SUMIF($D$25:$D$29,"&gt;0")*0.1),2),""),""),"")</f>
        <v/>
      </c>
    </row>
    <row r="33" spans="1:11" x14ac:dyDescent="0.25">
      <c r="B33" s="61" t="str">
        <f ca="1">IF($B$30&lt;&gt;"","Premio de asistencia " &amp;TEXT(EOMONTH($D$7,-2),"mmmm"),"")</f>
        <v>Premio de asistencia mayo</v>
      </c>
      <c r="C33" s="15">
        <v>1000</v>
      </c>
      <c r="D33" s="274"/>
    </row>
    <row r="34" spans="1:11" x14ac:dyDescent="0.25">
      <c r="B34" s="61" t="str">
        <f ca="1">IF($B$30&lt;&gt;"","Premio de asistencia " &amp;TEXT(EOMONTH($D$7,-1),"mmmm"),"")</f>
        <v>Premio de asistencia junio</v>
      </c>
      <c r="C34" s="15">
        <v>1000</v>
      </c>
      <c r="D34" s="274" t="str">
        <f>IFERROR(IF(CONTRA=GENERAL!$B$107,IF(ROUND((C33+C34)/$D$13,2)&gt;=(SUMIF($D$25:$D$29,"&gt;0")*0.1),ROUND(((C33+C34)/$D$13)-(SUMIF($D$25:$D$29,"&gt;0")*0.1),2),""),""),"")</f>
        <v/>
      </c>
    </row>
    <row r="35" spans="1:11" x14ac:dyDescent="0.25">
      <c r="B35" s="61" t="str">
        <f ca="1">IF($B$30&lt;&gt;"","Comisiones " &amp;TEXT(EOMONTH($D$7,-2),"mmmm"),"")</f>
        <v>Comisiones mayo</v>
      </c>
      <c r="C35" s="15">
        <v>1000</v>
      </c>
      <c r="D35" s="274"/>
    </row>
    <row r="36" spans="1:11" x14ac:dyDescent="0.25">
      <c r="B36" s="61" t="str">
        <f ca="1">IF($B$30&lt;&gt;"","Comisiones " &amp;TEXT(EOMONTH($D$7,-1),"mmmm"),"")</f>
        <v>Comisiones junio</v>
      </c>
      <c r="C36" s="15">
        <v>2500</v>
      </c>
      <c r="D36" s="274" t="str">
        <f>IFERROR(IF(CONTRA=GENERAL!$B$107,ROUND((C35+C36)/$D$13,2),""),"")</f>
        <v/>
      </c>
    </row>
    <row r="37" spans="1:11" x14ac:dyDescent="0.25">
      <c r="B37" s="61" t="str">
        <f ca="1">IF($B$30&lt;&gt;"","Otros " &amp;TEXT(EOMONTH($D$7,-2),"mmmm"),"")</f>
        <v>Otros mayo</v>
      </c>
      <c r="C37" s="15"/>
      <c r="D37" s="274"/>
    </row>
    <row r="38" spans="1:11" x14ac:dyDescent="0.25">
      <c r="B38" s="61" t="str">
        <f ca="1">IF($B$30&lt;&gt;"","Otros " &amp;TEXT(EOMONTH($D$7,-1),"mmmm"),"")</f>
        <v>Otros junio</v>
      </c>
      <c r="C38" s="15"/>
      <c r="D38" s="274" t="str">
        <f>IFERROR(IF(CONTRA=GENERAL!$B$107,ROUND((C37+C38)/$D$13,2),""),"")</f>
        <v/>
      </c>
    </row>
    <row r="39" spans="1:11" x14ac:dyDescent="0.25">
      <c r="B39" s="61" t="str">
        <f ca="1">IF($B$30&lt;&gt;"","(=) Salario base de cotización","")</f>
        <v>(=) Salario base de cotización</v>
      </c>
      <c r="C39" s="54"/>
      <c r="D39" s="288" t="str">
        <f>IFERROR(IF(CONTRA=GENERAL!$B$107,SUMIF($D$25:$D$38,"&gt;0"),""),"")</f>
        <v/>
      </c>
    </row>
    <row r="40" spans="1:11" x14ac:dyDescent="0.25">
      <c r="B40" s="61"/>
      <c r="C40" s="54"/>
      <c r="D40" s="54"/>
    </row>
    <row r="41" spans="1:11" x14ac:dyDescent="0.25">
      <c r="B41" s="40" t="s">
        <v>187</v>
      </c>
      <c r="C41" s="54" t="str">
        <f>IFERROR(IF(CONTRA=GENERAL!B107,ROUND(GENERAL!C22*25,2),""),"")</f>
        <v/>
      </c>
      <c r="D41" s="54"/>
    </row>
    <row r="44" spans="1:11" x14ac:dyDescent="0.25">
      <c r="A44" s="49"/>
      <c r="B44" s="49"/>
      <c r="C44" s="49"/>
      <c r="D44" s="49"/>
      <c r="E44" s="49"/>
      <c r="F44" s="49"/>
      <c r="G44" s="49"/>
      <c r="H44" s="49"/>
      <c r="I44" s="49"/>
      <c r="J44" s="49"/>
      <c r="K44" s="49"/>
    </row>
    <row r="46" spans="1:11" x14ac:dyDescent="0.25">
      <c r="B46" s="40" t="s">
        <v>692</v>
      </c>
    </row>
    <row r="47" spans="1:11" x14ac:dyDescent="0.25">
      <c r="B47" s="40"/>
    </row>
    <row r="48" spans="1:11" x14ac:dyDescent="0.25">
      <c r="B48" s="14" t="s">
        <v>92</v>
      </c>
      <c r="C48" s="539" t="s">
        <v>84</v>
      </c>
      <c r="D48" s="540"/>
    </row>
    <row r="49" spans="2:4" x14ac:dyDescent="0.25">
      <c r="B49" s="14" t="s">
        <v>82</v>
      </c>
      <c r="C49" s="228">
        <f>IFERROR(VLOOKUP(C48,GENERAL!$B$21:$C$22,2,FALSE),"")</f>
        <v>315.04000000000002</v>
      </c>
    </row>
    <row r="50" spans="2:4" x14ac:dyDescent="0.25">
      <c r="B50" s="40" t="s">
        <v>696</v>
      </c>
      <c r="C50" s="15">
        <v>50</v>
      </c>
    </row>
    <row r="51" spans="2:4" ht="30" x14ac:dyDescent="0.25">
      <c r="B51" s="223" t="s">
        <v>693</v>
      </c>
      <c r="C51" s="223" t="s">
        <v>694</v>
      </c>
      <c r="D51" s="224" t="s">
        <v>695</v>
      </c>
    </row>
    <row r="52" spans="2:4" x14ac:dyDescent="0.25">
      <c r="B52" s="4" t="s">
        <v>623</v>
      </c>
      <c r="C52" s="52">
        <v>5</v>
      </c>
      <c r="D52" s="289">
        <f>IFERROR(IF(C52&lt;&gt;"",ROUND(C52*$C$50,2),""),"")</f>
        <v>250</v>
      </c>
    </row>
    <row r="53" spans="2:4" x14ac:dyDescent="0.25">
      <c r="B53" s="4" t="s">
        <v>624</v>
      </c>
      <c r="C53" s="52">
        <v>5</v>
      </c>
      <c r="D53" s="289">
        <f t="shared" ref="D53:D58" si="0">IFERROR(IF(C53&lt;&gt;"",ROUND(C53*$C$50,2),""),"")</f>
        <v>250</v>
      </c>
    </row>
    <row r="54" spans="2:4" x14ac:dyDescent="0.25">
      <c r="B54" s="4" t="s">
        <v>625</v>
      </c>
      <c r="C54" s="52">
        <v>5</v>
      </c>
      <c r="D54" s="289">
        <f t="shared" si="0"/>
        <v>250</v>
      </c>
    </row>
    <row r="55" spans="2:4" x14ac:dyDescent="0.25">
      <c r="B55" s="4" t="s">
        <v>626</v>
      </c>
      <c r="C55" s="52">
        <v>5</v>
      </c>
      <c r="D55" s="289">
        <f t="shared" si="0"/>
        <v>250</v>
      </c>
    </row>
    <row r="56" spans="2:4" x14ac:dyDescent="0.25">
      <c r="B56" s="4" t="s">
        <v>627</v>
      </c>
      <c r="C56" s="52">
        <v>4</v>
      </c>
      <c r="D56" s="289">
        <f t="shared" si="0"/>
        <v>200</v>
      </c>
    </row>
    <row r="57" spans="2:4" x14ac:dyDescent="0.25">
      <c r="B57" s="4" t="s">
        <v>628</v>
      </c>
      <c r="C57" s="52">
        <v>3</v>
      </c>
      <c r="D57" s="289">
        <f t="shared" si="0"/>
        <v>150</v>
      </c>
    </row>
    <row r="58" spans="2:4" x14ac:dyDescent="0.25">
      <c r="B58" s="4" t="s">
        <v>629</v>
      </c>
      <c r="C58" s="52"/>
      <c r="D58" s="289" t="str">
        <f t="shared" si="0"/>
        <v/>
      </c>
    </row>
    <row r="59" spans="2:4" x14ac:dyDescent="0.25">
      <c r="C59" t="s">
        <v>655</v>
      </c>
      <c r="D59" s="274">
        <f>SUMIF(D52:D58,"&gt;0")</f>
        <v>1350</v>
      </c>
    </row>
    <row r="60" spans="2:4" x14ac:dyDescent="0.25">
      <c r="C60" t="s">
        <v>697</v>
      </c>
      <c r="D60" s="157">
        <v>7</v>
      </c>
    </row>
    <row r="61" spans="2:4" x14ac:dyDescent="0.25">
      <c r="C61" t="s">
        <v>698</v>
      </c>
      <c r="D61" s="157">
        <f>IFERROR(ROUND(D59/D60,2),"")</f>
        <v>192.86</v>
      </c>
    </row>
    <row r="62" spans="2:4" x14ac:dyDescent="0.25">
      <c r="D62" s="157"/>
    </row>
    <row r="63" spans="2:4" x14ac:dyDescent="0.25">
      <c r="C63" s="263" t="s">
        <v>704</v>
      </c>
      <c r="D63" s="273">
        <f>IFERROR(IF(D61&gt;=C49,D61,C49),"")</f>
        <v>315.04000000000002</v>
      </c>
    </row>
    <row r="65" spans="1:11" x14ac:dyDescent="0.25">
      <c r="A65" s="264"/>
      <c r="B65" s="264"/>
      <c r="C65" s="264"/>
      <c r="D65" s="264"/>
      <c r="E65" s="264"/>
      <c r="F65" s="264"/>
      <c r="G65" s="264"/>
      <c r="H65" s="264"/>
      <c r="I65" s="264"/>
      <c r="J65" s="264"/>
      <c r="K65" s="264"/>
    </row>
    <row r="67" spans="1:11" x14ac:dyDescent="0.25">
      <c r="B67" s="40" t="s">
        <v>691</v>
      </c>
    </row>
    <row r="68" spans="1:11" x14ac:dyDescent="0.25">
      <c r="B68" s="40"/>
    </row>
    <row r="69" spans="1:11" x14ac:dyDescent="0.25">
      <c r="B69" s="14" t="s">
        <v>92</v>
      </c>
      <c r="C69" s="539" t="s">
        <v>84</v>
      </c>
      <c r="D69" s="540"/>
    </row>
    <row r="70" spans="1:11" x14ac:dyDescent="0.25">
      <c r="B70" s="14" t="s">
        <v>82</v>
      </c>
      <c r="C70" s="228">
        <f>IFERROR(VLOOKUP(C69,GENERAL!$B$21:$C$22,2,FALSE),"")</f>
        <v>315.04000000000002</v>
      </c>
    </row>
    <row r="71" spans="1:11" x14ac:dyDescent="0.25">
      <c r="B71" s="40" t="s">
        <v>147</v>
      </c>
      <c r="C71" s="15">
        <v>600</v>
      </c>
    </row>
    <row r="72" spans="1:11" ht="30" x14ac:dyDescent="0.25">
      <c r="B72" s="223" t="s">
        <v>693</v>
      </c>
      <c r="C72" s="223" t="s">
        <v>699</v>
      </c>
      <c r="D72" s="224" t="s">
        <v>695</v>
      </c>
    </row>
    <row r="73" spans="1:11" x14ac:dyDescent="0.25">
      <c r="B73" s="4" t="s">
        <v>623</v>
      </c>
      <c r="C73" s="166" t="s">
        <v>54</v>
      </c>
      <c r="D73" s="289">
        <f>IFERROR(IF(C73="Sí",$C$71,""),"")</f>
        <v>600</v>
      </c>
    </row>
    <row r="74" spans="1:11" x14ac:dyDescent="0.25">
      <c r="B74" s="4" t="s">
        <v>624</v>
      </c>
      <c r="C74" s="166"/>
      <c r="D74" s="289" t="str">
        <f t="shared" ref="D74:D79" si="1">IFERROR(IF(C74="Sí",$C$71,""),"")</f>
        <v/>
      </c>
    </row>
    <row r="75" spans="1:11" x14ac:dyDescent="0.25">
      <c r="B75" s="4" t="s">
        <v>625</v>
      </c>
      <c r="C75" s="166" t="s">
        <v>54</v>
      </c>
      <c r="D75" s="289">
        <f t="shared" si="1"/>
        <v>600</v>
      </c>
    </row>
    <row r="76" spans="1:11" x14ac:dyDescent="0.25">
      <c r="B76" s="4" t="s">
        <v>626</v>
      </c>
      <c r="C76" s="166"/>
      <c r="D76" s="289" t="str">
        <f t="shared" si="1"/>
        <v/>
      </c>
    </row>
    <row r="77" spans="1:11" x14ac:dyDescent="0.25">
      <c r="B77" s="4" t="s">
        <v>627</v>
      </c>
      <c r="C77" s="166" t="s">
        <v>54</v>
      </c>
      <c r="D77" s="289">
        <f t="shared" si="1"/>
        <v>600</v>
      </c>
    </row>
    <row r="78" spans="1:11" x14ac:dyDescent="0.25">
      <c r="B78" s="4" t="s">
        <v>628</v>
      </c>
      <c r="C78" s="166" t="s">
        <v>54</v>
      </c>
      <c r="D78" s="289">
        <f t="shared" si="1"/>
        <v>600</v>
      </c>
    </row>
    <row r="79" spans="1:11" x14ac:dyDescent="0.25">
      <c r="B79" s="4" t="s">
        <v>629</v>
      </c>
      <c r="C79" s="166"/>
      <c r="D79" s="289" t="str">
        <f t="shared" si="1"/>
        <v/>
      </c>
    </row>
    <row r="80" spans="1:11" x14ac:dyDescent="0.25">
      <c r="C80" s="263" t="s">
        <v>655</v>
      </c>
      <c r="D80" s="276">
        <f>SUMIF(D73:D79,"&gt;0")</f>
        <v>2400</v>
      </c>
    </row>
    <row r="81" spans="3:4" x14ac:dyDescent="0.25">
      <c r="C81" s="263" t="s">
        <v>700</v>
      </c>
      <c r="D81" s="276">
        <f>IFERROR(ROUND(D80*(1/6),2),"")</f>
        <v>400</v>
      </c>
    </row>
    <row r="82" spans="3:4" x14ac:dyDescent="0.25">
      <c r="C82" s="263" t="s">
        <v>701</v>
      </c>
      <c r="D82" s="276">
        <f>SUMIF(D80:D81,"&gt;0")</f>
        <v>2800</v>
      </c>
    </row>
    <row r="83" spans="3:4" x14ac:dyDescent="0.25">
      <c r="C83" s="263" t="s">
        <v>697</v>
      </c>
      <c r="D83" s="157">
        <v>7</v>
      </c>
    </row>
    <row r="84" spans="3:4" x14ac:dyDescent="0.25">
      <c r="C84" s="263" t="s">
        <v>702</v>
      </c>
      <c r="D84" s="274">
        <f>IFERROR(ROUND(D82/D83,2),"")</f>
        <v>400</v>
      </c>
    </row>
    <row r="85" spans="3:4" x14ac:dyDescent="0.25">
      <c r="C85" s="263" t="s">
        <v>703</v>
      </c>
      <c r="D85" s="52">
        <v>1.0492999999999999</v>
      </c>
    </row>
    <row r="86" spans="3:4" x14ac:dyDescent="0.25">
      <c r="C86" s="263" t="s">
        <v>698</v>
      </c>
      <c r="D86" s="276">
        <f>IFERROR(ROUND(D84+D85,2),"")</f>
        <v>401.05</v>
      </c>
    </row>
    <row r="87" spans="3:4" x14ac:dyDescent="0.25">
      <c r="D87" s="157"/>
    </row>
    <row r="88" spans="3:4" x14ac:dyDescent="0.25">
      <c r="C88" s="263" t="s">
        <v>704</v>
      </c>
      <c r="D88" s="276">
        <f>IFERROR(IF(D86&gt;=C70,D86,C70),"")</f>
        <v>401.05</v>
      </c>
    </row>
  </sheetData>
  <mergeCells count="21">
    <mergeCell ref="C48:D48"/>
    <mergeCell ref="C69:D69"/>
    <mergeCell ref="B5:I5"/>
    <mergeCell ref="B9:I9"/>
    <mergeCell ref="B13:C13"/>
    <mergeCell ref="B14:C14"/>
    <mergeCell ref="B15:C15"/>
    <mergeCell ref="B29:C29"/>
    <mergeCell ref="B30:C30"/>
    <mergeCell ref="B19:C19"/>
    <mergeCell ref="B11:C11"/>
    <mergeCell ref="B12:C12"/>
    <mergeCell ref="B18:C18"/>
    <mergeCell ref="B16:C16"/>
    <mergeCell ref="B17:C17"/>
    <mergeCell ref="B20:C20"/>
    <mergeCell ref="B24:C24"/>
    <mergeCell ref="B25:C25"/>
    <mergeCell ref="B26:C26"/>
    <mergeCell ref="B28:C28"/>
    <mergeCell ref="B22:D22"/>
  </mergeCells>
  <phoneticPr fontId="23" type="noConversion"/>
  <conditionalFormatting sqref="D13">
    <cfRule type="expression" dxfId="6" priority="9">
      <formula>IF($B$13&lt;&gt;"",1,0)</formula>
    </cfRule>
  </conditionalFormatting>
  <conditionalFormatting sqref="D14:D17">
    <cfRule type="notContainsBlanks" dxfId="5" priority="12">
      <formula>LEN(TRIM(D14))&gt;0</formula>
    </cfRule>
  </conditionalFormatting>
  <conditionalFormatting sqref="D32 D34 D36 D38">
    <cfRule type="expression" dxfId="3" priority="7">
      <formula>IF($B$13&lt;&gt;"",1,0)</formula>
    </cfRule>
  </conditionalFormatting>
  <conditionalFormatting sqref="G16">
    <cfRule type="expression" dxfId="2" priority="10">
      <formula>IF($H$15&lt;&gt;"",1,0)</formula>
    </cfRule>
  </conditionalFormatting>
  <conditionalFormatting sqref="I14">
    <cfRule type="expression" dxfId="1" priority="6">
      <formula>IF($H$14&lt;&gt;"",1,0)</formula>
    </cfRule>
  </conditionalFormatting>
  <conditionalFormatting sqref="I15">
    <cfRule type="expression" dxfId="0" priority="11">
      <formula>IF($H$15&lt;&gt;"",1,0)</formula>
    </cfRule>
  </conditionalFormatting>
  <dataValidations count="3">
    <dataValidation type="list" allowBlank="1" showInputMessage="1" showErrorMessage="1" errorTitle="Determinación del SBC" error="Solo se permiten datos de la lista" sqref="G15" xr:uid="{8D98FE25-6419-4CC3-9A38-88EE3C32C15E}">
      <formula1>"1,2,3"</formula1>
    </dataValidation>
    <dataValidation type="list" allowBlank="1" showInputMessage="1" showErrorMessage="1" errorTitle="Determinación del SBC" error="Solo se permiten datos de la lista" sqref="G14" xr:uid="{C2EF4431-543C-460F-A283-45F6C5D72876}">
      <formula1>"Sí,No"</formula1>
    </dataValidation>
    <dataValidation type="list" allowBlank="1" showInputMessage="1" showErrorMessage="1" errorTitle="SBC semana reducida" error="Solo se permiten datos de la lista" sqref="C73:C79" xr:uid="{C31C8BB4-2078-43ED-ACC0-458314D70810}">
      <formula1>"Sí,No"</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5" id="{DAFEECE9-819D-46A4-9379-7E49FE102E91}">
            <xm:f>IF(CONTRA=GENERAL!B$107,1,0)</xm:f>
            <x14:dxf>
              <font>
                <color theme="1"/>
              </font>
            </x14:dxf>
          </x14:cfRule>
          <xm:sqref>D24:D29 D31:D39 D52:D63 D73:D84 D86:D88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errorTitle="Percepción" error="Solo se permiten datos de la lista" xr:uid="{D3FA9107-7D9B-4C5F-9E92-4522C6EBD4DA}">
          <x14:formula1>
            <xm:f>GENERAL!$B$21:$B$22</xm:f>
          </x14:formula1>
          <xm:sqref>D18</xm:sqref>
        </x14:dataValidation>
        <x14:dataValidation type="list" allowBlank="1" showInputMessage="1" showErrorMessage="1" errorTitle="Percepción" error="Solo se permiten datos de la lista" xr:uid="{239763C6-F627-4A95-BC91-10BEFE93F9B9}">
          <x14:formula1>
            <xm:f>GENERAL!$C$25:$C$26</xm:f>
          </x14:formula1>
          <xm:sqref>D20</xm:sqref>
        </x14:dataValidation>
        <x14:dataValidation type="list" allowBlank="1" showInputMessage="1" showErrorMessage="1" errorTitle="Tiempo extra" error="Solo se permiten datos de la lista" xr:uid="{D51530C7-2570-4D40-A6C5-FB8B7F80410B}">
          <x14:formula1>
            <xm:f>GENERAL!$B$21:$B$22</xm:f>
          </x14:formula1>
          <xm:sqref>C48 C69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E18B7-145E-4493-B918-B2DE1B9B601F}">
  <sheetPr codeName="Hoja7"/>
  <dimension ref="B4:N19"/>
  <sheetViews>
    <sheetView showGridLines="0" zoomScale="130" zoomScaleNormal="130" workbookViewId="0">
      <selection activeCell="C5" sqref="C5"/>
    </sheetView>
  </sheetViews>
  <sheetFormatPr baseColWidth="10" defaultColWidth="9.140625" defaultRowHeight="15" x14ac:dyDescent="0.25"/>
  <cols>
    <col min="1" max="1" width="6.5703125" customWidth="1"/>
    <col min="2" max="2" width="5.7109375" customWidth="1"/>
    <col min="3" max="3" width="18.28515625" customWidth="1"/>
    <col min="4" max="4" width="15.140625" customWidth="1"/>
    <col min="5" max="5" width="15.85546875" customWidth="1"/>
    <col min="6" max="6" width="11.28515625" customWidth="1"/>
    <col min="7" max="7" width="11.7109375" customWidth="1"/>
    <col min="8" max="8" width="13" customWidth="1"/>
    <col min="9" max="9" width="13.5703125" customWidth="1"/>
    <col min="10" max="10" width="14.42578125" customWidth="1"/>
    <col min="11" max="11" width="12" customWidth="1"/>
    <col min="12" max="12" width="12.5703125" customWidth="1"/>
    <col min="14" max="14" width="10.85546875" customWidth="1"/>
  </cols>
  <sheetData>
    <row r="4" spans="2:14" ht="45" x14ac:dyDescent="0.25">
      <c r="C4" s="330" t="s">
        <v>813</v>
      </c>
      <c r="D4" s="330" t="s">
        <v>830</v>
      </c>
      <c r="E4" s="330" t="s">
        <v>82</v>
      </c>
      <c r="F4" s="330" t="s">
        <v>829</v>
      </c>
      <c r="G4" s="330" t="s">
        <v>827</v>
      </c>
      <c r="H4" s="330" t="s">
        <v>814</v>
      </c>
      <c r="I4" s="330" t="s">
        <v>815</v>
      </c>
      <c r="J4" s="330" t="s">
        <v>816</v>
      </c>
      <c r="K4" s="330" t="s">
        <v>817</v>
      </c>
      <c r="L4" s="330" t="s">
        <v>818</v>
      </c>
      <c r="M4" s="330" t="s">
        <v>819</v>
      </c>
      <c r="N4" s="330" t="s">
        <v>820</v>
      </c>
    </row>
    <row r="5" spans="2:14" x14ac:dyDescent="0.25">
      <c r="B5" s="328" t="s">
        <v>328</v>
      </c>
      <c r="C5" s="4" t="s">
        <v>821</v>
      </c>
      <c r="D5" s="15">
        <v>700</v>
      </c>
      <c r="E5" s="52">
        <v>315.04000000000002</v>
      </c>
      <c r="F5" s="52">
        <f>IFERROR(ROUND(D5/E5,2),"")</f>
        <v>2.2200000000000002</v>
      </c>
      <c r="G5" s="329">
        <v>0.2</v>
      </c>
      <c r="H5" s="331">
        <f>IFERROR(VLOOKUP(ROUND(D5/E5,2),$C$12:$G$19,IF(G5=20%,3,IF(G5=25%,4,5))),"")</f>
        <v>0.157</v>
      </c>
      <c r="I5" s="332"/>
      <c r="J5" s="52">
        <v>55</v>
      </c>
      <c r="K5" s="333">
        <f>D5*H5</f>
        <v>109.9</v>
      </c>
      <c r="L5" s="21">
        <f>IFERROR(K5*J5,"")</f>
        <v>6044.5</v>
      </c>
      <c r="M5" s="21">
        <v>15</v>
      </c>
      <c r="N5" s="21">
        <f>IFERROR(L5+M5,"")</f>
        <v>6059.5</v>
      </c>
    </row>
    <row r="6" spans="2:14" x14ac:dyDescent="0.25">
      <c r="C6" s="4" t="s">
        <v>199</v>
      </c>
      <c r="D6" s="21">
        <v>1300</v>
      </c>
      <c r="E6" s="226"/>
      <c r="F6" s="226"/>
      <c r="G6" s="226"/>
      <c r="H6" s="226"/>
      <c r="I6" s="332"/>
      <c r="J6" s="52">
        <v>59</v>
      </c>
      <c r="K6" s="333">
        <f>IFERROR((D6*2)/J6,"")</f>
        <v>44.067796610169495</v>
      </c>
      <c r="L6" s="21">
        <f>IFERROR(K6*J6,"")</f>
        <v>2600</v>
      </c>
      <c r="M6" s="21">
        <v>15</v>
      </c>
      <c r="N6" s="21">
        <f t="shared" ref="N6:N7" si="0">IFERROR(L6+M6,"")</f>
        <v>2615</v>
      </c>
    </row>
    <row r="7" spans="2:14" x14ac:dyDescent="0.25">
      <c r="C7" s="4" t="s">
        <v>822</v>
      </c>
      <c r="D7" s="226"/>
      <c r="E7" s="226"/>
      <c r="F7" s="226"/>
      <c r="G7" s="226"/>
      <c r="H7" s="52">
        <v>26.678999999999998</v>
      </c>
      <c r="I7" s="52">
        <v>100.81</v>
      </c>
      <c r="J7" s="52">
        <v>59</v>
      </c>
      <c r="K7" s="21">
        <f>IFERROR((H7*I7*2)/59,"")</f>
        <v>91.169830169491533</v>
      </c>
      <c r="L7" s="21">
        <f>IFERROR(K7*J7,"")</f>
        <v>5379.01998</v>
      </c>
      <c r="M7" s="21">
        <v>15</v>
      </c>
      <c r="N7" s="21">
        <f t="shared" si="0"/>
        <v>5394.01998</v>
      </c>
    </row>
    <row r="11" spans="2:14" x14ac:dyDescent="0.25">
      <c r="B11" s="328" t="s">
        <v>328</v>
      </c>
      <c r="C11" s="40" t="s">
        <v>276</v>
      </c>
    </row>
    <row r="12" spans="2:14" ht="30" customHeight="1" x14ac:dyDescent="0.25">
      <c r="C12" s="546" t="s">
        <v>823</v>
      </c>
      <c r="D12" s="547"/>
      <c r="E12" s="544" t="s">
        <v>824</v>
      </c>
      <c r="F12" s="544" t="s">
        <v>825</v>
      </c>
      <c r="G12" s="544" t="s">
        <v>826</v>
      </c>
    </row>
    <row r="13" spans="2:14" x14ac:dyDescent="0.25">
      <c r="C13" s="327" t="s">
        <v>828</v>
      </c>
      <c r="D13" s="327" t="s">
        <v>144</v>
      </c>
      <c r="E13" s="545"/>
      <c r="F13" s="545"/>
      <c r="G13" s="545"/>
    </row>
    <row r="14" spans="2:14" x14ac:dyDescent="0.25">
      <c r="C14" s="4">
        <v>1</v>
      </c>
      <c r="D14" s="4">
        <v>2.5</v>
      </c>
      <c r="E14" s="91">
        <v>0.157</v>
      </c>
      <c r="F14" s="91">
        <v>0.19600000000000001</v>
      </c>
      <c r="G14" s="91">
        <v>0.246</v>
      </c>
    </row>
    <row r="15" spans="2:14" x14ac:dyDescent="0.25">
      <c r="C15" s="4">
        <v>2.5</v>
      </c>
      <c r="D15" s="4">
        <v>3.5</v>
      </c>
      <c r="E15" s="91">
        <v>0.16800000000000001</v>
      </c>
      <c r="F15" s="91">
        <v>0.21</v>
      </c>
      <c r="G15" s="91">
        <v>0.26</v>
      </c>
    </row>
    <row r="16" spans="2:14" x14ac:dyDescent="0.25">
      <c r="C16" s="4">
        <v>3.5</v>
      </c>
      <c r="D16" s="4">
        <v>4.5</v>
      </c>
      <c r="E16" s="91">
        <v>0.17199999999999999</v>
      </c>
      <c r="F16" s="91">
        <v>0.215</v>
      </c>
      <c r="G16" s="91">
        <v>0.26500000000000001</v>
      </c>
    </row>
    <row r="17" spans="3:7" x14ac:dyDescent="0.25">
      <c r="C17" s="4">
        <v>4.5</v>
      </c>
      <c r="D17" s="4">
        <v>5.5</v>
      </c>
      <c r="E17" s="91">
        <v>0.17699999999999999</v>
      </c>
      <c r="F17" s="91">
        <v>0.221</v>
      </c>
      <c r="G17" s="91">
        <v>0.27100000000000002</v>
      </c>
    </row>
    <row r="18" spans="3:7" x14ac:dyDescent="0.25">
      <c r="C18" s="4">
        <v>5.5</v>
      </c>
      <c r="D18" s="4">
        <v>6.5</v>
      </c>
      <c r="E18" s="91">
        <v>0.17799999999999999</v>
      </c>
      <c r="F18" s="91">
        <v>0.223</v>
      </c>
      <c r="G18" s="91">
        <v>0.27300000000000002</v>
      </c>
    </row>
    <row r="19" spans="3:7" x14ac:dyDescent="0.25">
      <c r="C19" s="4">
        <v>6.5</v>
      </c>
      <c r="D19" s="4">
        <v>999999</v>
      </c>
      <c r="E19" s="91">
        <v>0.2</v>
      </c>
      <c r="F19" s="91">
        <v>0.25</v>
      </c>
      <c r="G19" s="91">
        <v>0.3</v>
      </c>
    </row>
  </sheetData>
  <mergeCells count="4">
    <mergeCell ref="E12:E13"/>
    <mergeCell ref="G12:G13"/>
    <mergeCell ref="C12:D12"/>
    <mergeCell ref="F12:F13"/>
  </mergeCells>
  <dataValidations count="1">
    <dataValidation type="list" allowBlank="1" showInputMessage="1" showErrorMessage="1" sqref="G5" xr:uid="{91A3547F-F10A-46B4-94BB-3E411EE823C0}">
      <formula1>"20%,25%,30%"</formula1>
    </dataValidation>
  </dataValidations>
  <pageMargins left="0.75" right="0.75" top="1" bottom="1" header="0.5" footer="0.5"/>
  <ignoredErrors>
    <ignoredError sqref="L6" formula="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1BD5680-5784-4D5A-9E61-6DC153643476}">
          <x14:formula1>
            <xm:f>GENERAL!$C$21:$C$22</xm:f>
          </x14:formula1>
          <xm:sqref>E5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749DB-6C73-4DD4-80D0-591C2FF67817}">
  <sheetPr codeName="Hoja8"/>
  <dimension ref="B2:O107"/>
  <sheetViews>
    <sheetView showGridLines="0" topLeftCell="A73" workbookViewId="0">
      <selection activeCell="B108" sqref="B108"/>
    </sheetView>
  </sheetViews>
  <sheetFormatPr baseColWidth="10" defaultRowHeight="15" x14ac:dyDescent="0.25"/>
  <cols>
    <col min="2" max="2" width="32.42578125" customWidth="1"/>
    <col min="10" max="10" width="17.42578125" customWidth="1"/>
    <col min="15" max="15" width="17.42578125" customWidth="1"/>
  </cols>
  <sheetData>
    <row r="2" spans="2:15" x14ac:dyDescent="0.25">
      <c r="L2" t="s">
        <v>670</v>
      </c>
      <c r="M2" s="52">
        <f>DEDUCCION!C22</f>
        <v>7</v>
      </c>
    </row>
    <row r="3" spans="2:15" ht="54" customHeight="1" thickBot="1" x14ac:dyDescent="0.3">
      <c r="G3" s="548" t="s">
        <v>839</v>
      </c>
      <c r="H3" s="548"/>
      <c r="I3" s="548"/>
      <c r="J3" s="548"/>
    </row>
    <row r="4" spans="2:15" ht="48.75" thickTop="1" x14ac:dyDescent="0.25">
      <c r="G4" s="337" t="s">
        <v>197</v>
      </c>
      <c r="H4" s="337" t="s">
        <v>198</v>
      </c>
      <c r="I4" s="337" t="s">
        <v>199</v>
      </c>
      <c r="J4" s="337" t="s">
        <v>200</v>
      </c>
      <c r="L4" s="62" t="s">
        <v>197</v>
      </c>
      <c r="M4" s="62" t="s">
        <v>198</v>
      </c>
      <c r="N4" s="62" t="s">
        <v>199</v>
      </c>
      <c r="O4" s="62" t="s">
        <v>200</v>
      </c>
    </row>
    <row r="5" spans="2:15" ht="15.75" thickBot="1" x14ac:dyDescent="0.3">
      <c r="B5" s="549" t="s">
        <v>77</v>
      </c>
      <c r="C5" s="550"/>
      <c r="D5" s="551"/>
      <c r="G5" s="338" t="s">
        <v>201</v>
      </c>
      <c r="H5" s="338" t="s">
        <v>201</v>
      </c>
      <c r="I5" s="338" t="s">
        <v>201</v>
      </c>
      <c r="J5" s="338" t="s">
        <v>202</v>
      </c>
      <c r="L5" s="63" t="s">
        <v>201</v>
      </c>
      <c r="M5" s="63" t="s">
        <v>201</v>
      </c>
      <c r="N5" s="63" t="s">
        <v>201</v>
      </c>
      <c r="O5" s="63" t="s">
        <v>202</v>
      </c>
    </row>
    <row r="6" spans="2:15" ht="15.75" thickTop="1" x14ac:dyDescent="0.25">
      <c r="B6" s="552" t="s">
        <v>78</v>
      </c>
      <c r="C6" s="553"/>
      <c r="D6" s="4"/>
      <c r="G6" s="339">
        <v>0.01</v>
      </c>
      <c r="H6" s="339">
        <v>27.78</v>
      </c>
      <c r="I6" s="339">
        <v>0</v>
      </c>
      <c r="J6" s="340">
        <v>1.92</v>
      </c>
      <c r="L6" s="12">
        <v>0.01</v>
      </c>
      <c r="M6" s="12">
        <f>IFERROR(IF($M$2&lt;31,ROUND(H6*$M$2,2),H6),H6)</f>
        <v>194.46</v>
      </c>
      <c r="N6" s="12">
        <f>IFERROR(IF(N2&lt;31,ROUND(I6*$M$2,2),I6),I6)</f>
        <v>0</v>
      </c>
      <c r="O6" s="243">
        <v>1.92</v>
      </c>
    </row>
    <row r="7" spans="2:15" x14ac:dyDescent="0.25">
      <c r="B7" s="29" t="s">
        <v>79</v>
      </c>
      <c r="C7" s="29" t="s">
        <v>80</v>
      </c>
      <c r="D7" s="29" t="s">
        <v>81</v>
      </c>
      <c r="G7" s="339">
        <v>27.79</v>
      </c>
      <c r="H7" s="339">
        <v>235.81</v>
      </c>
      <c r="I7" s="339">
        <v>0.53</v>
      </c>
      <c r="J7" s="340">
        <v>6.4</v>
      </c>
      <c r="L7" s="12">
        <f>M6+0.01</f>
        <v>194.47</v>
      </c>
      <c r="M7" s="12">
        <f t="shared" ref="M7:M16" si="0">IFERROR(IF($M$2&lt;31,ROUND(H7*$M$2,2),H7),H7)</f>
        <v>1650.67</v>
      </c>
      <c r="N7" s="12">
        <f t="shared" ref="N7" si="1">IFERROR(IF(N3&lt;31,ROUND(I7*$M$2,2),I7),I7)</f>
        <v>3.71</v>
      </c>
      <c r="O7" s="243">
        <v>6.4</v>
      </c>
    </row>
    <row r="8" spans="2:15" x14ac:dyDescent="0.25">
      <c r="B8" s="4">
        <v>0</v>
      </c>
      <c r="C8" s="4">
        <v>1</v>
      </c>
      <c r="D8" s="4">
        <v>12</v>
      </c>
      <c r="G8" s="339">
        <v>235.82</v>
      </c>
      <c r="H8" s="339">
        <v>414.41</v>
      </c>
      <c r="I8" s="339">
        <v>13.85</v>
      </c>
      <c r="J8" s="340">
        <v>10.88</v>
      </c>
      <c r="L8" s="12">
        <f t="shared" ref="L8:L16" si="2">M7+0.01</f>
        <v>1650.68</v>
      </c>
      <c r="M8" s="12">
        <f t="shared" si="0"/>
        <v>2900.87</v>
      </c>
      <c r="N8" s="12">
        <f t="shared" ref="N8" si="3">IFERROR(IF(N4&lt;31,ROUND(I8*$M$2,2),I8),I8)</f>
        <v>13.85</v>
      </c>
      <c r="O8" s="243">
        <v>10.88</v>
      </c>
    </row>
    <row r="9" spans="2:15" x14ac:dyDescent="0.25">
      <c r="B9" s="4">
        <f>C8+0.01</f>
        <v>1.01</v>
      </c>
      <c r="C9" s="4">
        <v>2</v>
      </c>
      <c r="D9" s="4">
        <f>D8+2</f>
        <v>14</v>
      </c>
      <c r="G9" s="339">
        <v>414.42</v>
      </c>
      <c r="H9" s="339">
        <v>481.73</v>
      </c>
      <c r="I9" s="339">
        <v>33.28</v>
      </c>
      <c r="J9" s="340">
        <v>16</v>
      </c>
      <c r="L9" s="12">
        <f t="shared" si="2"/>
        <v>2900.88</v>
      </c>
      <c r="M9" s="12">
        <f t="shared" si="0"/>
        <v>3372.11</v>
      </c>
      <c r="N9" s="12">
        <f t="shared" ref="N9" si="4">IFERROR(IF(N5&lt;31,ROUND(I9*$M$2,2),I9),I9)</f>
        <v>33.28</v>
      </c>
      <c r="O9" s="243">
        <v>16</v>
      </c>
    </row>
    <row r="10" spans="2:15" x14ac:dyDescent="0.25">
      <c r="B10" s="4">
        <f t="shared" ref="B10:B18" si="5">C9+0.01</f>
        <v>2.0099999999999998</v>
      </c>
      <c r="C10" s="4">
        <v>3</v>
      </c>
      <c r="D10" s="4">
        <f t="shared" ref="D10:D18" si="6">D9+2</f>
        <v>16</v>
      </c>
      <c r="G10" s="339">
        <v>481.74</v>
      </c>
      <c r="H10" s="339">
        <v>576.76</v>
      </c>
      <c r="I10" s="339">
        <v>44.05</v>
      </c>
      <c r="J10" s="340">
        <v>17.920000000000002</v>
      </c>
      <c r="L10" s="12">
        <f t="shared" si="2"/>
        <v>3372.1200000000003</v>
      </c>
      <c r="M10" s="12">
        <f t="shared" si="0"/>
        <v>4037.32</v>
      </c>
      <c r="N10" s="12">
        <f t="shared" ref="N10" si="7">IFERROR(IF(N6&lt;31,ROUND(I10*$M$2,2),I10),I10)</f>
        <v>308.35000000000002</v>
      </c>
      <c r="O10" s="243">
        <v>17.920000000000002</v>
      </c>
    </row>
    <row r="11" spans="2:15" x14ac:dyDescent="0.25">
      <c r="B11" s="4">
        <f t="shared" si="5"/>
        <v>3.01</v>
      </c>
      <c r="C11" s="4">
        <v>4</v>
      </c>
      <c r="D11" s="4">
        <f t="shared" si="6"/>
        <v>18</v>
      </c>
      <c r="G11" s="339">
        <v>576.77</v>
      </c>
      <c r="H11" s="341">
        <v>1163.25</v>
      </c>
      <c r="I11" s="339">
        <v>61.08</v>
      </c>
      <c r="J11" s="340">
        <v>21.36</v>
      </c>
      <c r="L11" s="12">
        <f t="shared" si="2"/>
        <v>4037.3300000000004</v>
      </c>
      <c r="M11" s="12">
        <f t="shared" si="0"/>
        <v>8142.75</v>
      </c>
      <c r="N11" s="12">
        <f t="shared" ref="N11" si="8">IFERROR(IF(N7&lt;31,ROUND(I11*$M$2,2),I11),I11)</f>
        <v>427.56</v>
      </c>
      <c r="O11" s="243">
        <v>21.36</v>
      </c>
    </row>
    <row r="12" spans="2:15" x14ac:dyDescent="0.25">
      <c r="B12" s="4">
        <f t="shared" si="5"/>
        <v>4.01</v>
      </c>
      <c r="C12" s="4">
        <v>5</v>
      </c>
      <c r="D12" s="4">
        <f t="shared" si="6"/>
        <v>20</v>
      </c>
      <c r="G12" s="341">
        <v>1163.26</v>
      </c>
      <c r="H12" s="341">
        <v>1833.44</v>
      </c>
      <c r="I12" s="339">
        <v>186.35</v>
      </c>
      <c r="J12" s="340">
        <v>23.52</v>
      </c>
      <c r="L12" s="12">
        <f t="shared" si="2"/>
        <v>8142.76</v>
      </c>
      <c r="M12" s="12">
        <f t="shared" si="0"/>
        <v>12834.08</v>
      </c>
      <c r="N12" s="12">
        <f t="shared" ref="N12" si="9">IFERROR(IF(N8&lt;31,ROUND(I12*$M$2,2),I12),I12)</f>
        <v>1304.45</v>
      </c>
      <c r="O12" s="243">
        <v>23.52</v>
      </c>
    </row>
    <row r="13" spans="2:15" x14ac:dyDescent="0.25">
      <c r="B13" s="4">
        <f t="shared" si="5"/>
        <v>5.01</v>
      </c>
      <c r="C13" s="4">
        <f>C12+5</f>
        <v>10</v>
      </c>
      <c r="D13" s="4">
        <f t="shared" si="6"/>
        <v>22</v>
      </c>
      <c r="G13" s="341">
        <v>1833.45</v>
      </c>
      <c r="H13" s="341">
        <v>3500.35</v>
      </c>
      <c r="I13" s="339">
        <v>343.98</v>
      </c>
      <c r="J13" s="340">
        <v>30</v>
      </c>
      <c r="L13" s="12">
        <f t="shared" si="2"/>
        <v>12834.09</v>
      </c>
      <c r="M13" s="12">
        <f t="shared" si="0"/>
        <v>24502.45</v>
      </c>
      <c r="N13" s="12">
        <f t="shared" ref="N13" si="10">IFERROR(IF(N9&lt;31,ROUND(I13*$M$2,2),I13),I13)</f>
        <v>343.98</v>
      </c>
      <c r="O13" s="243">
        <v>30</v>
      </c>
    </row>
    <row r="14" spans="2:15" x14ac:dyDescent="0.25">
      <c r="B14" s="4">
        <f t="shared" si="5"/>
        <v>10.01</v>
      </c>
      <c r="C14" s="4">
        <f t="shared" ref="C14:C18" si="11">C13+5</f>
        <v>15</v>
      </c>
      <c r="D14" s="4">
        <f t="shared" si="6"/>
        <v>24</v>
      </c>
      <c r="G14" s="341">
        <v>3500.36</v>
      </c>
      <c r="H14" s="341">
        <v>4667.13</v>
      </c>
      <c r="I14" s="339">
        <v>844.05</v>
      </c>
      <c r="J14" s="340">
        <v>32</v>
      </c>
      <c r="L14" s="12">
        <f t="shared" si="2"/>
        <v>24502.46</v>
      </c>
      <c r="M14" s="12">
        <f t="shared" si="0"/>
        <v>32669.91</v>
      </c>
      <c r="N14" s="12">
        <f t="shared" ref="N14" si="12">IFERROR(IF(N10&lt;31,ROUND(I14*$M$2,2),I14),I14)</f>
        <v>844.05</v>
      </c>
      <c r="O14" s="243">
        <v>32</v>
      </c>
    </row>
    <row r="15" spans="2:15" x14ac:dyDescent="0.25">
      <c r="B15" s="4">
        <f t="shared" si="5"/>
        <v>15.01</v>
      </c>
      <c r="C15" s="4">
        <f t="shared" si="11"/>
        <v>20</v>
      </c>
      <c r="D15" s="4">
        <f t="shared" si="6"/>
        <v>26</v>
      </c>
      <c r="G15" s="341">
        <v>4667.1400000000003</v>
      </c>
      <c r="H15" s="341">
        <v>14001.38</v>
      </c>
      <c r="I15" s="341">
        <v>1217.42</v>
      </c>
      <c r="J15" s="340">
        <v>34</v>
      </c>
      <c r="L15" s="12">
        <f t="shared" si="2"/>
        <v>32669.919999999998</v>
      </c>
      <c r="M15" s="12">
        <f t="shared" si="0"/>
        <v>98009.66</v>
      </c>
      <c r="N15" s="12">
        <f t="shared" ref="N15" si="13">IFERROR(IF(N11&lt;31,ROUND(I15*$M$2,2),I15),I15)</f>
        <v>1217.42</v>
      </c>
      <c r="O15" s="243">
        <v>34</v>
      </c>
    </row>
    <row r="16" spans="2:15" ht="15.75" thickBot="1" x14ac:dyDescent="0.3">
      <c r="B16" s="4">
        <f t="shared" si="5"/>
        <v>20.010000000000002</v>
      </c>
      <c r="C16" s="4">
        <f t="shared" si="11"/>
        <v>25</v>
      </c>
      <c r="D16" s="4">
        <f t="shared" si="6"/>
        <v>28</v>
      </c>
      <c r="G16" s="342">
        <v>14001.39</v>
      </c>
      <c r="H16" s="343" t="s">
        <v>203</v>
      </c>
      <c r="I16" s="342">
        <v>4391.07</v>
      </c>
      <c r="J16" s="338">
        <v>35</v>
      </c>
      <c r="L16" s="324">
        <f t="shared" si="2"/>
        <v>98009.67</v>
      </c>
      <c r="M16" s="324" t="str">
        <f t="shared" si="0"/>
        <v>En adelante</v>
      </c>
      <c r="N16" s="324">
        <f t="shared" ref="N16" si="14">IFERROR(IF(N12&lt;31,ROUND(I16*$M$2,2),I16),I16)</f>
        <v>4391.07</v>
      </c>
      <c r="O16" s="325">
        <v>35</v>
      </c>
    </row>
    <row r="17" spans="2:4" ht="15.75" thickTop="1" x14ac:dyDescent="0.25">
      <c r="B17" s="4">
        <f t="shared" si="5"/>
        <v>25.01</v>
      </c>
      <c r="C17" s="4">
        <f t="shared" si="11"/>
        <v>30</v>
      </c>
      <c r="D17" s="4">
        <f t="shared" si="6"/>
        <v>30</v>
      </c>
    </row>
    <row r="18" spans="2:4" x14ac:dyDescent="0.25">
      <c r="B18" s="4">
        <f t="shared" si="5"/>
        <v>30.01</v>
      </c>
      <c r="C18" s="4">
        <f t="shared" si="11"/>
        <v>35</v>
      </c>
      <c r="D18" s="4">
        <f t="shared" si="6"/>
        <v>32</v>
      </c>
    </row>
    <row r="20" spans="2:4" x14ac:dyDescent="0.25">
      <c r="B20" s="405" t="s">
        <v>82</v>
      </c>
      <c r="C20" s="405"/>
    </row>
    <row r="21" spans="2:4" x14ac:dyDescent="0.25">
      <c r="B21" s="4" t="s">
        <v>83</v>
      </c>
      <c r="C21" s="21">
        <v>440.87</v>
      </c>
    </row>
    <row r="22" spans="2:4" x14ac:dyDescent="0.25">
      <c r="B22" s="4" t="s">
        <v>84</v>
      </c>
      <c r="C22" s="21">
        <v>315.04000000000002</v>
      </c>
    </row>
    <row r="24" spans="2:4" x14ac:dyDescent="0.25">
      <c r="B24" s="405" t="s">
        <v>68</v>
      </c>
      <c r="C24" s="405"/>
    </row>
    <row r="25" spans="2:4" x14ac:dyDescent="0.25">
      <c r="B25" s="4" t="s">
        <v>85</v>
      </c>
      <c r="C25" s="4">
        <v>113.14</v>
      </c>
    </row>
    <row r="26" spans="2:4" x14ac:dyDescent="0.25">
      <c r="B26" s="4" t="s">
        <v>86</v>
      </c>
      <c r="C26" s="4">
        <v>117.31</v>
      </c>
    </row>
    <row r="28" spans="2:4" x14ac:dyDescent="0.25">
      <c r="B28" s="4" t="s">
        <v>87</v>
      </c>
      <c r="C28" s="21">
        <v>3439.46</v>
      </c>
    </row>
    <row r="29" spans="2:4" x14ac:dyDescent="0.25">
      <c r="B29" s="4" t="s">
        <v>88</v>
      </c>
      <c r="C29" s="21">
        <v>3566.22</v>
      </c>
    </row>
    <row r="30" spans="2:4" x14ac:dyDescent="0.25">
      <c r="B30" s="4" t="s">
        <v>89</v>
      </c>
      <c r="C30" s="21">
        <v>11492.66</v>
      </c>
    </row>
    <row r="31" spans="2:4" x14ac:dyDescent="0.25">
      <c r="B31" s="4" t="s">
        <v>90</v>
      </c>
      <c r="C31" s="244">
        <v>0.1502</v>
      </c>
    </row>
    <row r="32" spans="2:4" x14ac:dyDescent="0.25">
      <c r="B32" s="4" t="s">
        <v>91</v>
      </c>
      <c r="C32" s="30">
        <v>0.15590000000000001</v>
      </c>
    </row>
    <row r="35" spans="2:2" x14ac:dyDescent="0.25">
      <c r="B35" s="31" t="s">
        <v>81</v>
      </c>
    </row>
    <row r="36" spans="2:2" x14ac:dyDescent="0.25">
      <c r="B36" s="4">
        <v>1</v>
      </c>
    </row>
    <row r="37" spans="2:2" x14ac:dyDescent="0.25">
      <c r="B37" s="4">
        <v>2</v>
      </c>
    </row>
    <row r="38" spans="2:2" x14ac:dyDescent="0.25">
      <c r="B38" s="4">
        <v>3</v>
      </c>
    </row>
    <row r="39" spans="2:2" x14ac:dyDescent="0.25">
      <c r="B39" s="4">
        <v>4</v>
      </c>
    </row>
    <row r="40" spans="2:2" x14ac:dyDescent="0.25">
      <c r="B40" s="4">
        <v>5</v>
      </c>
    </row>
    <row r="41" spans="2:2" x14ac:dyDescent="0.25">
      <c r="B41" s="4">
        <v>6</v>
      </c>
    </row>
    <row r="42" spans="2:2" x14ac:dyDescent="0.25">
      <c r="B42" s="4">
        <v>7</v>
      </c>
    </row>
    <row r="43" spans="2:2" x14ac:dyDescent="0.25">
      <c r="B43" s="4">
        <v>8</v>
      </c>
    </row>
    <row r="44" spans="2:2" x14ac:dyDescent="0.25">
      <c r="B44" s="4">
        <v>9</v>
      </c>
    </row>
    <row r="45" spans="2:2" x14ac:dyDescent="0.25">
      <c r="B45" s="4">
        <v>10</v>
      </c>
    </row>
    <row r="46" spans="2:2" x14ac:dyDescent="0.25">
      <c r="B46" s="4">
        <v>11</v>
      </c>
    </row>
    <row r="47" spans="2:2" x14ac:dyDescent="0.25">
      <c r="B47" s="4">
        <v>12</v>
      </c>
    </row>
    <row r="48" spans="2:2" x14ac:dyDescent="0.25">
      <c r="B48" s="4">
        <v>13</v>
      </c>
    </row>
    <row r="49" spans="2:2" x14ac:dyDescent="0.25">
      <c r="B49" s="4">
        <v>14</v>
      </c>
    </row>
    <row r="50" spans="2:2" x14ac:dyDescent="0.25">
      <c r="B50" s="4">
        <v>15</v>
      </c>
    </row>
    <row r="51" spans="2:2" x14ac:dyDescent="0.25">
      <c r="B51" s="4">
        <v>16</v>
      </c>
    </row>
    <row r="52" spans="2:2" x14ac:dyDescent="0.25">
      <c r="B52" s="4">
        <v>17</v>
      </c>
    </row>
    <row r="53" spans="2:2" x14ac:dyDescent="0.25">
      <c r="B53" s="4">
        <v>18</v>
      </c>
    </row>
    <row r="54" spans="2:2" x14ac:dyDescent="0.25">
      <c r="B54" s="4">
        <v>19</v>
      </c>
    </row>
    <row r="55" spans="2:2" x14ac:dyDescent="0.25">
      <c r="B55" s="4">
        <v>20</v>
      </c>
    </row>
    <row r="56" spans="2:2" x14ac:dyDescent="0.25">
      <c r="B56" s="4">
        <v>21</v>
      </c>
    </row>
    <row r="57" spans="2:2" x14ac:dyDescent="0.25">
      <c r="B57" s="4">
        <v>22</v>
      </c>
    </row>
    <row r="58" spans="2:2" x14ac:dyDescent="0.25">
      <c r="B58" s="4">
        <v>23</v>
      </c>
    </row>
    <row r="59" spans="2:2" x14ac:dyDescent="0.25">
      <c r="B59" s="4">
        <v>24</v>
      </c>
    </row>
    <row r="60" spans="2:2" x14ac:dyDescent="0.25">
      <c r="B60" s="4">
        <v>25</v>
      </c>
    </row>
    <row r="61" spans="2:2" x14ac:dyDescent="0.25">
      <c r="B61" s="4">
        <v>26</v>
      </c>
    </row>
    <row r="62" spans="2:2" x14ac:dyDescent="0.25">
      <c r="B62" s="4">
        <v>27</v>
      </c>
    </row>
    <row r="63" spans="2:2" x14ac:dyDescent="0.25">
      <c r="B63" s="4">
        <v>28</v>
      </c>
    </row>
    <row r="64" spans="2:2" x14ac:dyDescent="0.25">
      <c r="B64" s="4">
        <v>29</v>
      </c>
    </row>
    <row r="65" spans="2:4" x14ac:dyDescent="0.25">
      <c r="B65" s="4">
        <v>30</v>
      </c>
    </row>
    <row r="66" spans="2:4" x14ac:dyDescent="0.25">
      <c r="B66" s="4">
        <v>31</v>
      </c>
    </row>
    <row r="69" spans="2:4" x14ac:dyDescent="0.25">
      <c r="B69" t="s">
        <v>54</v>
      </c>
    </row>
    <row r="70" spans="2:4" x14ac:dyDescent="0.25">
      <c r="B70" t="s">
        <v>94</v>
      </c>
    </row>
    <row r="72" spans="2:4" ht="15.75" thickBot="1" x14ac:dyDescent="0.3"/>
    <row r="73" spans="2:4" ht="28.5" x14ac:dyDescent="0.25">
      <c r="B73" s="64" t="s">
        <v>152</v>
      </c>
      <c r="C73" s="65" t="s">
        <v>1</v>
      </c>
    </row>
    <row r="74" spans="2:4" x14ac:dyDescent="0.25">
      <c r="B74" s="44">
        <v>1</v>
      </c>
      <c r="C74" s="2" t="s">
        <v>153</v>
      </c>
      <c r="D74" t="str">
        <f>"01 "&amp;C74</f>
        <v>01 Dobles</v>
      </c>
    </row>
    <row r="75" spans="2:4" x14ac:dyDescent="0.25">
      <c r="B75" s="44">
        <v>2</v>
      </c>
      <c r="C75" s="2" t="s">
        <v>154</v>
      </c>
      <c r="D75" t="str">
        <f>"02 "&amp;C75</f>
        <v>02 Triples</v>
      </c>
    </row>
    <row r="76" spans="2:4" x14ac:dyDescent="0.25">
      <c r="B76" s="44">
        <v>3</v>
      </c>
      <c r="C76" s="2" t="s">
        <v>155</v>
      </c>
      <c r="D76" t="str">
        <f>"03 "&amp;C76</f>
        <v>03 Simples</v>
      </c>
    </row>
    <row r="82" spans="2:2" x14ac:dyDescent="0.25">
      <c r="B82" t="s">
        <v>85</v>
      </c>
    </row>
    <row r="83" spans="2:2" x14ac:dyDescent="0.25">
      <c r="B83" t="s">
        <v>209</v>
      </c>
    </row>
    <row r="84" spans="2:2" x14ac:dyDescent="0.25">
      <c r="B84" t="s">
        <v>210</v>
      </c>
    </row>
    <row r="85" spans="2:2" x14ac:dyDescent="0.25">
      <c r="B85" t="s">
        <v>211</v>
      </c>
    </row>
    <row r="86" spans="2:2" x14ac:dyDescent="0.25">
      <c r="B86" t="s">
        <v>212</v>
      </c>
    </row>
    <row r="87" spans="2:2" x14ac:dyDescent="0.25">
      <c r="B87" t="s">
        <v>213</v>
      </c>
    </row>
    <row r="88" spans="2:2" x14ac:dyDescent="0.25">
      <c r="B88" t="s">
        <v>214</v>
      </c>
    </row>
    <row r="89" spans="2:2" x14ac:dyDescent="0.25">
      <c r="B89" t="s">
        <v>215</v>
      </c>
    </row>
    <row r="90" spans="2:2" x14ac:dyDescent="0.25">
      <c r="B90" t="s">
        <v>216</v>
      </c>
    </row>
    <row r="91" spans="2:2" x14ac:dyDescent="0.25">
      <c r="B91" t="s">
        <v>217</v>
      </c>
    </row>
    <row r="92" spans="2:2" x14ac:dyDescent="0.25">
      <c r="B92" t="s">
        <v>218</v>
      </c>
    </row>
    <row r="93" spans="2:2" x14ac:dyDescent="0.25">
      <c r="B93" t="s">
        <v>219</v>
      </c>
    </row>
    <row r="107" spans="2:2" x14ac:dyDescent="0.25">
      <c r="B107" s="157" t="s">
        <v>841</v>
      </c>
    </row>
  </sheetData>
  <mergeCells count="5">
    <mergeCell ref="G3:J3"/>
    <mergeCell ref="B5:D5"/>
    <mergeCell ref="B6:C6"/>
    <mergeCell ref="B20:C20"/>
    <mergeCell ref="B24:C24"/>
  </mergeCells>
  <phoneticPr fontId="23"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E6CA1-F4E2-49EE-9BD1-E630A8486F82}">
  <sheetPr codeName="Hoja12"/>
  <dimension ref="B5:C19"/>
  <sheetViews>
    <sheetView showGridLines="0" zoomScale="110" zoomScaleNormal="110" workbookViewId="0">
      <selection activeCell="C10" sqref="C10"/>
    </sheetView>
  </sheetViews>
  <sheetFormatPr baseColWidth="10" defaultRowHeight="15" x14ac:dyDescent="0.25"/>
  <cols>
    <col min="1" max="1" width="8.140625" customWidth="1"/>
    <col min="2" max="2" width="65.42578125" bestFit="1" customWidth="1"/>
    <col min="3" max="3" width="26" customWidth="1"/>
  </cols>
  <sheetData>
    <row r="5" spans="2:3" ht="15.75" thickBot="1" x14ac:dyDescent="0.3"/>
    <row r="6" spans="2:3" ht="18.75" x14ac:dyDescent="0.25">
      <c r="B6" s="326" t="s">
        <v>1</v>
      </c>
      <c r="C6" s="326" t="s">
        <v>491</v>
      </c>
    </row>
    <row r="7" spans="2:3" ht="18.75" x14ac:dyDescent="0.3">
      <c r="B7" s="297" t="s">
        <v>799</v>
      </c>
      <c r="C7" s="299" t="s">
        <v>800</v>
      </c>
    </row>
    <row r="8" spans="2:3" ht="18.75" x14ac:dyDescent="0.3">
      <c r="B8" s="298" t="s">
        <v>801</v>
      </c>
      <c r="C8" s="300" t="s">
        <v>802</v>
      </c>
    </row>
    <row r="9" spans="2:3" ht="18.75" x14ac:dyDescent="0.3">
      <c r="B9" s="297" t="s">
        <v>803</v>
      </c>
      <c r="C9" s="299" t="s">
        <v>492</v>
      </c>
    </row>
    <row r="10" spans="2:3" ht="18.75" x14ac:dyDescent="0.3">
      <c r="B10" s="298" t="s">
        <v>804</v>
      </c>
      <c r="C10" s="300" t="s">
        <v>805</v>
      </c>
    </row>
    <row r="11" spans="2:3" ht="18.75" x14ac:dyDescent="0.3">
      <c r="B11" s="297" t="s">
        <v>806</v>
      </c>
      <c r="C11" s="299" t="s">
        <v>807</v>
      </c>
    </row>
    <row r="12" spans="2:3" ht="18.75" x14ac:dyDescent="0.3">
      <c r="B12" s="298" t="s">
        <v>808</v>
      </c>
      <c r="C12" s="300" t="s">
        <v>495</v>
      </c>
    </row>
    <row r="13" spans="2:3" ht="18.75" x14ac:dyDescent="0.3">
      <c r="B13" s="297" t="s">
        <v>493</v>
      </c>
      <c r="C13" s="299" t="s">
        <v>494</v>
      </c>
    </row>
    <row r="14" spans="2:3" ht="18.75" x14ac:dyDescent="0.3">
      <c r="B14" s="298" t="s">
        <v>809</v>
      </c>
      <c r="C14" s="300" t="s">
        <v>810</v>
      </c>
    </row>
    <row r="15" spans="2:3" ht="18.75" x14ac:dyDescent="0.3">
      <c r="B15" s="297" t="s">
        <v>499</v>
      </c>
      <c r="C15" s="299" t="s">
        <v>500</v>
      </c>
    </row>
    <row r="16" spans="2:3" ht="18.75" x14ac:dyDescent="0.3">
      <c r="B16" s="298" t="s">
        <v>497</v>
      </c>
      <c r="C16" s="300" t="s">
        <v>498</v>
      </c>
    </row>
    <row r="17" spans="2:3" ht="18.75" x14ac:dyDescent="0.3">
      <c r="B17" s="297" t="s">
        <v>496</v>
      </c>
      <c r="C17" s="299" t="s">
        <v>204</v>
      </c>
    </row>
    <row r="18" spans="2:3" ht="18.75" x14ac:dyDescent="0.3">
      <c r="B18" s="298" t="s">
        <v>831</v>
      </c>
      <c r="C18" s="300" t="s">
        <v>832</v>
      </c>
    </row>
    <row r="19" spans="2:3" ht="19.5" thickBot="1" x14ac:dyDescent="0.35">
      <c r="B19" s="334" t="s">
        <v>501</v>
      </c>
      <c r="C19" s="335" t="s">
        <v>502</v>
      </c>
    </row>
  </sheetData>
  <hyperlinks>
    <hyperlink ref="C9" location="PERCEPCION!B6" display="PERCEPCION" xr:uid="{F3CEDA09-5EA7-4582-B60B-2FE4AB73DB3B}"/>
    <hyperlink ref="C10" location="PERCEPCIONESO!B6" display="PERCEPCIONESO" xr:uid="{D79274CA-CA99-474C-8578-5BC07B5A99EF}"/>
    <hyperlink ref="C11" location="OPAGOS!B5" display="OPAGOS" xr:uid="{51339805-17C0-4738-8DD0-2317F1EFBC71}"/>
    <hyperlink ref="C13" location="PREVISION!C5" display="PREVISION" xr:uid="{DBCE8827-EEA8-4BB5-B260-50DCD5DDBD51}"/>
    <hyperlink ref="C12" location="MENU!C10" display="DEDUCCION" xr:uid="{244AE01B-F135-4B9A-B6CA-2A5E8D8758DC}"/>
    <hyperlink ref="C17" location="SBC!D7" display="SBC" xr:uid="{3D61F40B-2F70-4F2C-8ABA-41D3323CA780}"/>
    <hyperlink ref="C16" location="DSDI!C6" display="DSDI" xr:uid="{87FB8A7D-7DDA-4286-885C-792F7121E65F}"/>
    <hyperlink ref="C15" location="FCFDI!C4" display="FCFDI" xr:uid="{88D68273-7EA5-4621-AA7A-E2FAF97A7DDC}"/>
    <hyperlink ref="C19" location="GENERAL!B7" display="GENERAL" xr:uid="{E45670FF-4D20-4826-946A-0AB74D9FC1B9}"/>
    <hyperlink ref="C7" location="INSTRUCCIONES!B4" display="INSTRUCCIONES" xr:uid="{078F272B-A9FC-4200-B76D-AA2968383902}"/>
    <hyperlink ref="C8" location="APEND6!B4" display="APEND6" xr:uid="{36E45A0E-CD12-418D-904A-732323D1506B}"/>
    <hyperlink ref="C14" location="FACTOR!C4" display="FACTOR" xr:uid="{E2CCBBE2-4EDE-41E6-936C-D6C3AA9E6F3E}"/>
    <hyperlink ref="C18" location="INFONAVIT!C5" display="INFONAVIT" xr:uid="{C73B04F6-3DB1-4734-B6F2-D5F69D50C97B}"/>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E2EF5-75A0-439F-83DC-15AD505B817F}">
  <sheetPr codeName="Hoja6"/>
  <dimension ref="B4:B13"/>
  <sheetViews>
    <sheetView showGridLines="0" zoomScale="110" zoomScaleNormal="110" workbookViewId="0">
      <selection activeCell="B6" sqref="B6"/>
    </sheetView>
  </sheetViews>
  <sheetFormatPr baseColWidth="10" defaultRowHeight="15" x14ac:dyDescent="0.25"/>
  <cols>
    <col min="2" max="2" width="143.5703125" customWidth="1"/>
  </cols>
  <sheetData>
    <row r="4" spans="2:2" x14ac:dyDescent="0.25">
      <c r="B4" s="40" t="s">
        <v>785</v>
      </c>
    </row>
    <row r="5" spans="2:2" ht="18" customHeight="1" x14ac:dyDescent="0.25">
      <c r="B5" s="48" t="s">
        <v>792</v>
      </c>
    </row>
    <row r="6" spans="2:2" ht="18" customHeight="1" x14ac:dyDescent="0.25">
      <c r="B6" s="48" t="s">
        <v>793</v>
      </c>
    </row>
    <row r="7" spans="2:2" ht="18" customHeight="1" x14ac:dyDescent="0.25">
      <c r="B7" s="48" t="s">
        <v>794</v>
      </c>
    </row>
    <row r="8" spans="2:2" ht="18" customHeight="1" x14ac:dyDescent="0.25">
      <c r="B8" s="48" t="s">
        <v>795</v>
      </c>
    </row>
    <row r="9" spans="2:2" ht="18" customHeight="1" x14ac:dyDescent="0.25">
      <c r="B9" s="48" t="s">
        <v>796</v>
      </c>
    </row>
    <row r="10" spans="2:2" ht="18" customHeight="1" x14ac:dyDescent="0.25">
      <c r="B10" s="48" t="s">
        <v>797</v>
      </c>
    </row>
    <row r="11" spans="2:2" ht="18" customHeight="1" x14ac:dyDescent="0.25">
      <c r="B11" s="48" t="s">
        <v>798</v>
      </c>
    </row>
    <row r="13" spans="2:2" x14ac:dyDescent="0.25">
      <c r="B13" t="s">
        <v>791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5800B-E2BD-4AD5-AE72-35195D8CEC4C}">
  <sheetPr codeName="Hoja13"/>
  <dimension ref="A4:J174"/>
  <sheetViews>
    <sheetView showGridLines="0" zoomScale="110" zoomScaleNormal="110" workbookViewId="0">
      <selection activeCell="E3" sqref="E3"/>
    </sheetView>
  </sheetViews>
  <sheetFormatPr baseColWidth="10" defaultRowHeight="15" outlineLevelRow="1" x14ac:dyDescent="0.25"/>
  <cols>
    <col min="1" max="1" width="5.140625" customWidth="1"/>
    <col min="3" max="3" width="58" customWidth="1"/>
    <col min="4" max="4" width="17" customWidth="1"/>
    <col min="5" max="5" width="34.28515625" customWidth="1"/>
    <col min="6" max="6" width="5.7109375" customWidth="1"/>
    <col min="8" max="8" width="69.85546875" customWidth="1"/>
  </cols>
  <sheetData>
    <row r="4" spans="2:8" x14ac:dyDescent="0.25">
      <c r="B4" s="370" t="s">
        <v>512</v>
      </c>
      <c r="C4" s="370"/>
      <c r="D4" s="370"/>
      <c r="E4" s="370"/>
      <c r="F4" s="370"/>
      <c r="G4" s="370"/>
      <c r="H4" s="370"/>
    </row>
    <row r="5" spans="2:8" x14ac:dyDescent="0.25">
      <c r="B5" s="370" t="s">
        <v>513</v>
      </c>
      <c r="C5" s="370"/>
      <c r="D5" s="370"/>
      <c r="E5" s="370"/>
      <c r="F5" s="370"/>
      <c r="G5" s="370"/>
      <c r="H5" s="370"/>
    </row>
    <row r="6" spans="2:8" x14ac:dyDescent="0.25">
      <c r="B6" s="370" t="s">
        <v>514</v>
      </c>
      <c r="C6" s="370"/>
      <c r="D6" s="370"/>
      <c r="E6" s="370"/>
      <c r="F6" s="370"/>
      <c r="G6" s="370"/>
      <c r="H6" s="370"/>
    </row>
    <row r="7" spans="2:8" ht="31.5" customHeight="1" x14ac:dyDescent="0.25">
      <c r="B7" s="371" t="s">
        <v>515</v>
      </c>
      <c r="C7" s="371"/>
      <c r="D7" s="371"/>
      <c r="E7" s="371"/>
      <c r="F7" s="371"/>
      <c r="G7" s="371"/>
      <c r="H7" s="371"/>
    </row>
    <row r="8" spans="2:8" x14ac:dyDescent="0.25">
      <c r="B8" s="370" t="s">
        <v>516</v>
      </c>
      <c r="C8" s="370"/>
      <c r="D8" s="370"/>
      <c r="E8" s="370"/>
      <c r="F8" s="370"/>
      <c r="G8" s="370"/>
      <c r="H8" s="370"/>
    </row>
    <row r="9" spans="2:8" x14ac:dyDescent="0.25">
      <c r="B9" s="40"/>
    </row>
    <row r="10" spans="2:8" x14ac:dyDescent="0.25">
      <c r="B10" s="167"/>
      <c r="C10" s="168"/>
      <c r="D10" s="168"/>
      <c r="E10" s="168"/>
      <c r="F10" s="168"/>
      <c r="G10" s="168"/>
      <c r="H10" s="168"/>
    </row>
    <row r="13" spans="2:8" x14ac:dyDescent="0.25">
      <c r="B13" s="169" t="s">
        <v>512</v>
      </c>
      <c r="E13" s="170" t="s">
        <v>517</v>
      </c>
    </row>
    <row r="14" spans="2:8" ht="55.5" hidden="1" customHeight="1" outlineLevel="1" x14ac:dyDescent="0.25">
      <c r="B14" s="364" t="s">
        <v>518</v>
      </c>
      <c r="C14" s="365"/>
      <c r="D14" s="365"/>
      <c r="E14" s="365"/>
      <c r="G14" s="366" t="e" vm="1">
        <v>#VALUE!</v>
      </c>
      <c r="H14" s="366"/>
    </row>
    <row r="15" spans="2:8" ht="120.75" hidden="1" customHeight="1" outlineLevel="1" x14ac:dyDescent="0.25">
      <c r="B15" s="367" t="s">
        <v>519</v>
      </c>
      <c r="C15" s="368"/>
      <c r="D15" s="368"/>
      <c r="E15" s="368"/>
      <c r="G15" s="366"/>
      <c r="H15" s="366"/>
    </row>
    <row r="16" spans="2:8" hidden="1" outlineLevel="1" x14ac:dyDescent="0.25">
      <c r="B16" s="369" t="s">
        <v>520</v>
      </c>
      <c r="C16" s="369"/>
      <c r="D16" s="369"/>
      <c r="E16" s="369"/>
      <c r="G16" s="366"/>
      <c r="H16" s="366"/>
    </row>
    <row r="17" spans="2:8" hidden="1" outlineLevel="1" x14ac:dyDescent="0.25">
      <c r="B17" s="369"/>
      <c r="C17" s="369"/>
      <c r="D17" s="369"/>
      <c r="E17" s="369"/>
      <c r="G17" s="366"/>
      <c r="H17" s="366"/>
    </row>
    <row r="18" spans="2:8" hidden="1" outlineLevel="1" x14ac:dyDescent="0.25">
      <c r="B18" s="369"/>
      <c r="C18" s="369"/>
      <c r="D18" s="369"/>
      <c r="E18" s="369"/>
      <c r="G18" s="366"/>
      <c r="H18" s="366"/>
    </row>
    <row r="19" spans="2:8" hidden="1" outlineLevel="1" x14ac:dyDescent="0.25"/>
    <row r="20" spans="2:8" collapsed="1" x14ac:dyDescent="0.25">
      <c r="B20" s="357" t="s">
        <v>521</v>
      </c>
      <c r="C20" s="357"/>
      <c r="D20" s="357"/>
      <c r="E20" s="357"/>
      <c r="G20" s="349" t="s">
        <v>522</v>
      </c>
      <c r="H20" s="351"/>
    </row>
    <row r="21" spans="2:8" ht="30" x14ac:dyDescent="0.25">
      <c r="B21" s="171" t="s">
        <v>49</v>
      </c>
      <c r="C21" s="171" t="s">
        <v>1</v>
      </c>
      <c r="D21" s="171" t="s">
        <v>523</v>
      </c>
      <c r="E21" s="171" t="s">
        <v>524</v>
      </c>
      <c r="G21" s="171" t="s">
        <v>525</v>
      </c>
      <c r="H21" s="171" t="s">
        <v>1</v>
      </c>
    </row>
    <row r="22" spans="2:8" x14ac:dyDescent="0.25">
      <c r="B22" s="172">
        <v>1</v>
      </c>
      <c r="C22" s="147" t="s">
        <v>2</v>
      </c>
      <c r="D22" s="7" t="s">
        <v>64</v>
      </c>
      <c r="E22" s="4"/>
      <c r="G22" s="172">
        <v>2</v>
      </c>
      <c r="H22" s="2" t="s">
        <v>222</v>
      </c>
    </row>
    <row r="23" spans="2:8" ht="98.25" hidden="1" customHeight="1" outlineLevel="1" x14ac:dyDescent="0.25">
      <c r="B23" s="361" t="s">
        <v>526</v>
      </c>
      <c r="C23" s="362"/>
      <c r="D23" s="362"/>
      <c r="E23" s="363"/>
      <c r="G23" s="172"/>
      <c r="H23" s="2"/>
    </row>
    <row r="24" spans="2:8" ht="30" collapsed="1" x14ac:dyDescent="0.25">
      <c r="B24" s="1">
        <v>2</v>
      </c>
      <c r="C24" s="2" t="s">
        <v>3</v>
      </c>
      <c r="D24" s="7" t="s">
        <v>527</v>
      </c>
      <c r="E24" s="41" t="s">
        <v>528</v>
      </c>
      <c r="G24" s="172">
        <v>6</v>
      </c>
      <c r="H24" s="2" t="s">
        <v>226</v>
      </c>
    </row>
    <row r="25" spans="2:8" ht="30" x14ac:dyDescent="0.25">
      <c r="B25" s="1">
        <v>3</v>
      </c>
      <c r="C25" s="2" t="s">
        <v>4</v>
      </c>
      <c r="D25" s="7" t="s">
        <v>527</v>
      </c>
      <c r="E25" s="41" t="s">
        <v>529</v>
      </c>
      <c r="G25" s="172">
        <v>12</v>
      </c>
      <c r="H25" s="2" t="s">
        <v>96</v>
      </c>
    </row>
    <row r="26" spans="2:8" x14ac:dyDescent="0.25">
      <c r="B26" s="1">
        <v>4</v>
      </c>
      <c r="C26" s="2" t="s">
        <v>5</v>
      </c>
      <c r="D26" s="7" t="s">
        <v>527</v>
      </c>
      <c r="E26" s="4"/>
      <c r="G26" s="172">
        <v>20</v>
      </c>
      <c r="H26" s="2" t="s">
        <v>98</v>
      </c>
    </row>
    <row r="27" spans="2:8" x14ac:dyDescent="0.25">
      <c r="B27" s="1">
        <v>5</v>
      </c>
      <c r="C27" s="2" t="s">
        <v>6</v>
      </c>
      <c r="D27" s="7" t="s">
        <v>527</v>
      </c>
      <c r="E27" s="4"/>
      <c r="G27" s="172">
        <v>13</v>
      </c>
      <c r="H27" s="2" t="s">
        <v>97</v>
      </c>
    </row>
    <row r="28" spans="2:8" x14ac:dyDescent="0.25">
      <c r="B28" s="1">
        <v>6</v>
      </c>
      <c r="C28" s="2" t="s">
        <v>7</v>
      </c>
      <c r="D28" s="7" t="s">
        <v>527</v>
      </c>
      <c r="E28" s="4"/>
      <c r="G28" s="172">
        <v>20</v>
      </c>
      <c r="H28" s="2" t="s">
        <v>98</v>
      </c>
    </row>
    <row r="29" spans="2:8" ht="28.5" x14ac:dyDescent="0.25">
      <c r="B29" s="1">
        <v>9</v>
      </c>
      <c r="C29" s="2" t="s">
        <v>8</v>
      </c>
      <c r="D29" s="7" t="s">
        <v>64</v>
      </c>
      <c r="E29" s="4"/>
      <c r="G29" s="172">
        <v>24</v>
      </c>
      <c r="H29" s="173" t="s">
        <v>100</v>
      </c>
    </row>
    <row r="30" spans="2:8" x14ac:dyDescent="0.25">
      <c r="B30" s="1">
        <v>10</v>
      </c>
      <c r="C30" s="2" t="s">
        <v>9</v>
      </c>
      <c r="D30" s="7" t="s">
        <v>64</v>
      </c>
      <c r="E30" s="4"/>
      <c r="G30" s="172">
        <v>25</v>
      </c>
      <c r="H30" s="173" t="s">
        <v>101</v>
      </c>
    </row>
    <row r="31" spans="2:8" ht="28.5" x14ac:dyDescent="0.25">
      <c r="B31" s="1">
        <v>11</v>
      </c>
      <c r="C31" s="2" t="s">
        <v>10</v>
      </c>
      <c r="D31" s="7" t="s">
        <v>527</v>
      </c>
      <c r="E31" s="4"/>
      <c r="G31" s="172">
        <v>26</v>
      </c>
      <c r="H31" s="173" t="s">
        <v>102</v>
      </c>
    </row>
    <row r="32" spans="2:8" ht="28.5" x14ac:dyDescent="0.25">
      <c r="B32" s="1">
        <v>12</v>
      </c>
      <c r="C32" s="2" t="s">
        <v>11</v>
      </c>
      <c r="D32" s="7" t="s">
        <v>527</v>
      </c>
      <c r="E32" s="4"/>
      <c r="G32" s="172">
        <v>27</v>
      </c>
      <c r="H32" s="173" t="s">
        <v>103</v>
      </c>
    </row>
    <row r="33" spans="2:8" ht="28.5" x14ac:dyDescent="0.25">
      <c r="B33" s="1">
        <v>13</v>
      </c>
      <c r="C33" s="2" t="s">
        <v>12</v>
      </c>
      <c r="D33" s="7" t="s">
        <v>64</v>
      </c>
      <c r="E33" s="4"/>
      <c r="G33" s="172">
        <v>28</v>
      </c>
      <c r="H33" s="173" t="s">
        <v>104</v>
      </c>
    </row>
    <row r="34" spans="2:8" x14ac:dyDescent="0.25">
      <c r="B34" s="1">
        <v>14</v>
      </c>
      <c r="C34" s="2" t="s">
        <v>13</v>
      </c>
      <c r="D34" s="7" t="s">
        <v>527</v>
      </c>
      <c r="E34" s="4"/>
      <c r="G34" s="172">
        <v>29</v>
      </c>
      <c r="H34" s="173" t="s">
        <v>105</v>
      </c>
    </row>
    <row r="35" spans="2:8" x14ac:dyDescent="0.25">
      <c r="B35" s="1">
        <v>15</v>
      </c>
      <c r="C35" s="2" t="s">
        <v>14</v>
      </c>
      <c r="D35" s="7" t="s">
        <v>527</v>
      </c>
      <c r="E35" s="4"/>
      <c r="G35" s="172">
        <v>30</v>
      </c>
      <c r="H35" s="173" t="s">
        <v>107</v>
      </c>
    </row>
    <row r="36" spans="2:8" ht="125.25" hidden="1" customHeight="1" outlineLevel="1" x14ac:dyDescent="0.25">
      <c r="B36" s="361" t="s">
        <v>530</v>
      </c>
      <c r="C36" s="362"/>
      <c r="D36" s="362"/>
      <c r="E36" s="363"/>
      <c r="G36" s="172"/>
      <c r="H36" s="173"/>
    </row>
    <row r="37" spans="2:8" ht="45" collapsed="1" x14ac:dyDescent="0.25">
      <c r="B37" s="1">
        <v>19</v>
      </c>
      <c r="C37" s="2" t="s">
        <v>15</v>
      </c>
      <c r="D37" s="7" t="s">
        <v>527</v>
      </c>
      <c r="E37" s="41" t="s">
        <v>531</v>
      </c>
      <c r="G37" s="172">
        <v>31</v>
      </c>
      <c r="H37" s="173" t="s">
        <v>162</v>
      </c>
    </row>
    <row r="38" spans="2:8" ht="101.25" hidden="1" customHeight="1" outlineLevel="1" x14ac:dyDescent="0.25">
      <c r="B38" s="361" t="s">
        <v>526</v>
      </c>
      <c r="C38" s="362"/>
      <c r="D38" s="362"/>
      <c r="E38" s="363"/>
      <c r="G38" s="172"/>
      <c r="H38" s="173"/>
    </row>
    <row r="39" spans="2:8" ht="45" collapsed="1" x14ac:dyDescent="0.25">
      <c r="B39" s="1">
        <v>20</v>
      </c>
      <c r="C39" s="2" t="s">
        <v>16</v>
      </c>
      <c r="D39" s="7" t="s">
        <v>527</v>
      </c>
      <c r="E39" s="41" t="s">
        <v>532</v>
      </c>
      <c r="G39" s="172">
        <v>32</v>
      </c>
      <c r="H39" s="173" t="s">
        <v>163</v>
      </c>
    </row>
    <row r="40" spans="2:8" ht="30" x14ac:dyDescent="0.25">
      <c r="B40" s="1">
        <v>21</v>
      </c>
      <c r="C40" s="2" t="s">
        <v>17</v>
      </c>
      <c r="D40" s="7" t="s">
        <v>527</v>
      </c>
      <c r="E40" s="41" t="s">
        <v>529</v>
      </c>
      <c r="G40" s="172">
        <v>33</v>
      </c>
      <c r="H40" s="173" t="s">
        <v>109</v>
      </c>
    </row>
    <row r="41" spans="2:8" x14ac:dyDescent="0.25">
      <c r="B41" s="1">
        <v>24</v>
      </c>
      <c r="C41" s="2" t="s">
        <v>20</v>
      </c>
      <c r="D41" s="7" t="s">
        <v>527</v>
      </c>
      <c r="E41" s="4"/>
      <c r="G41" s="172">
        <v>34</v>
      </c>
      <c r="H41" s="173" t="s">
        <v>111</v>
      </c>
    </row>
    <row r="42" spans="2:8" x14ac:dyDescent="0.25">
      <c r="B42" s="1">
        <v>26</v>
      </c>
      <c r="C42" s="2" t="s">
        <v>22</v>
      </c>
      <c r="D42" s="7" t="s">
        <v>527</v>
      </c>
      <c r="E42" s="4"/>
      <c r="G42" s="172">
        <v>35</v>
      </c>
      <c r="H42" s="173" t="s">
        <v>578</v>
      </c>
    </row>
    <row r="43" spans="2:8" ht="18" customHeight="1" x14ac:dyDescent="0.25">
      <c r="B43" s="1">
        <v>27</v>
      </c>
      <c r="C43" s="2" t="s">
        <v>23</v>
      </c>
      <c r="D43" s="7" t="s">
        <v>65</v>
      </c>
      <c r="E43" s="4"/>
      <c r="G43" s="172">
        <v>36</v>
      </c>
      <c r="H43" s="173" t="s">
        <v>113</v>
      </c>
    </row>
    <row r="44" spans="2:8" x14ac:dyDescent="0.25">
      <c r="B44" s="1">
        <v>28</v>
      </c>
      <c r="C44" s="2" t="s">
        <v>24</v>
      </c>
      <c r="D44" s="7" t="s">
        <v>64</v>
      </c>
      <c r="E44" s="4"/>
      <c r="G44" s="172">
        <v>37</v>
      </c>
      <c r="H44" s="173" t="s">
        <v>115</v>
      </c>
    </row>
    <row r="45" spans="2:8" x14ac:dyDescent="0.25">
      <c r="B45" s="1">
        <v>29</v>
      </c>
      <c r="C45" s="2" t="s">
        <v>25</v>
      </c>
      <c r="D45" s="7" t="s">
        <v>527</v>
      </c>
      <c r="E45" s="4"/>
      <c r="G45" s="172">
        <v>38</v>
      </c>
      <c r="H45" s="173" t="s">
        <v>166</v>
      </c>
    </row>
    <row r="46" spans="2:8" x14ac:dyDescent="0.25">
      <c r="B46" s="1">
        <v>30</v>
      </c>
      <c r="C46" s="2" t="s">
        <v>26</v>
      </c>
      <c r="D46" s="7" t="s">
        <v>527</v>
      </c>
      <c r="E46" s="4"/>
      <c r="G46" s="172">
        <v>39</v>
      </c>
      <c r="H46" s="173" t="s">
        <v>167</v>
      </c>
    </row>
    <row r="47" spans="2:8" x14ac:dyDescent="0.25">
      <c r="B47" s="1">
        <v>31</v>
      </c>
      <c r="C47" s="2" t="s">
        <v>27</v>
      </c>
      <c r="D47" s="7" t="s">
        <v>527</v>
      </c>
      <c r="E47" s="4"/>
      <c r="G47" s="172">
        <v>40</v>
      </c>
      <c r="H47" s="173" t="s">
        <v>168</v>
      </c>
    </row>
    <row r="48" spans="2:8" x14ac:dyDescent="0.25">
      <c r="B48" s="1">
        <v>32</v>
      </c>
      <c r="C48" s="2" t="s">
        <v>28</v>
      </c>
      <c r="D48" s="7" t="s">
        <v>527</v>
      </c>
      <c r="E48" s="4"/>
      <c r="G48" s="172">
        <v>41</v>
      </c>
      <c r="H48" s="173" t="s">
        <v>169</v>
      </c>
    </row>
    <row r="49" spans="2:8" x14ac:dyDescent="0.25">
      <c r="B49" s="1">
        <v>33</v>
      </c>
      <c r="C49" s="2" t="s">
        <v>29</v>
      </c>
      <c r="D49" s="7" t="s">
        <v>527</v>
      </c>
      <c r="E49" s="4"/>
      <c r="G49" s="172">
        <v>42</v>
      </c>
      <c r="H49" s="173" t="s">
        <v>117</v>
      </c>
    </row>
    <row r="50" spans="2:8" x14ac:dyDescent="0.25">
      <c r="B50" s="1">
        <v>34</v>
      </c>
      <c r="C50" s="2" t="s">
        <v>30</v>
      </c>
      <c r="D50" s="7" t="s">
        <v>527</v>
      </c>
      <c r="E50" s="4"/>
      <c r="G50" s="172">
        <v>43</v>
      </c>
      <c r="H50" s="173" t="s">
        <v>118</v>
      </c>
    </row>
    <row r="51" spans="2:8" x14ac:dyDescent="0.25">
      <c r="B51" s="1">
        <v>35</v>
      </c>
      <c r="C51" s="2" t="s">
        <v>31</v>
      </c>
      <c r="D51" s="7" t="s">
        <v>527</v>
      </c>
      <c r="E51" s="4"/>
      <c r="G51" s="172">
        <v>48</v>
      </c>
      <c r="H51" s="173" t="s">
        <v>533</v>
      </c>
    </row>
    <row r="52" spans="2:8" x14ac:dyDescent="0.25">
      <c r="B52" s="1">
        <v>36</v>
      </c>
      <c r="C52" s="2" t="s">
        <v>32</v>
      </c>
      <c r="D52" s="7" t="s">
        <v>527</v>
      </c>
      <c r="E52" s="4"/>
      <c r="G52" s="172">
        <v>51</v>
      </c>
      <c r="H52" s="173" t="s">
        <v>119</v>
      </c>
    </row>
    <row r="53" spans="2:8" x14ac:dyDescent="0.25">
      <c r="B53" s="1">
        <v>37</v>
      </c>
      <c r="C53" s="2" t="s">
        <v>33</v>
      </c>
      <c r="D53" s="7" t="s">
        <v>527</v>
      </c>
      <c r="E53" s="4"/>
      <c r="G53" s="172">
        <v>52</v>
      </c>
      <c r="H53" s="173" t="s">
        <v>170</v>
      </c>
    </row>
    <row r="54" spans="2:8" x14ac:dyDescent="0.25">
      <c r="B54" s="1">
        <v>38</v>
      </c>
      <c r="C54" s="2" t="s">
        <v>34</v>
      </c>
      <c r="D54" s="7" t="s">
        <v>64</v>
      </c>
      <c r="E54" s="4"/>
      <c r="G54" s="172">
        <v>53</v>
      </c>
      <c r="H54" s="173" t="s">
        <v>165</v>
      </c>
    </row>
    <row r="55" spans="2:8" ht="28.5" x14ac:dyDescent="0.25">
      <c r="B55" s="1" t="s">
        <v>40</v>
      </c>
      <c r="C55" s="3" t="s">
        <v>579</v>
      </c>
      <c r="D55" s="7" t="s">
        <v>527</v>
      </c>
      <c r="E55" s="4"/>
      <c r="G55" s="172">
        <v>54</v>
      </c>
      <c r="H55" s="173" t="s">
        <v>120</v>
      </c>
    </row>
    <row r="56" spans="2:8" x14ac:dyDescent="0.25">
      <c r="B56" s="1">
        <v>48</v>
      </c>
      <c r="C56" s="3" t="s">
        <v>42</v>
      </c>
      <c r="D56" s="7" t="s">
        <v>527</v>
      </c>
      <c r="E56" s="4"/>
      <c r="G56" s="172">
        <v>55</v>
      </c>
      <c r="H56" s="173" t="s">
        <v>122</v>
      </c>
    </row>
    <row r="57" spans="2:8" x14ac:dyDescent="0.25">
      <c r="B57" s="1">
        <v>49</v>
      </c>
      <c r="C57" s="3" t="s">
        <v>43</v>
      </c>
      <c r="D57" s="7" t="s">
        <v>64</v>
      </c>
      <c r="E57" s="4"/>
      <c r="G57" s="172">
        <v>56</v>
      </c>
      <c r="H57" s="173" t="s">
        <v>124</v>
      </c>
    </row>
    <row r="58" spans="2:8" x14ac:dyDescent="0.25">
      <c r="B58" s="1">
        <v>50</v>
      </c>
      <c r="C58" s="3" t="s">
        <v>44</v>
      </c>
      <c r="D58" s="7" t="s">
        <v>527</v>
      </c>
      <c r="E58" s="4"/>
      <c r="G58" s="172">
        <v>57</v>
      </c>
      <c r="H58" s="173" t="s">
        <v>126</v>
      </c>
    </row>
    <row r="59" spans="2:8" x14ac:dyDescent="0.25">
      <c r="B59" s="1">
        <v>54</v>
      </c>
      <c r="C59" s="181" t="s">
        <v>509</v>
      </c>
      <c r="D59" s="7" t="s">
        <v>527</v>
      </c>
      <c r="E59" s="4"/>
      <c r="G59" s="172">
        <v>58</v>
      </c>
      <c r="H59" s="173" t="s">
        <v>128</v>
      </c>
    </row>
    <row r="60" spans="2:8" x14ac:dyDescent="0.25">
      <c r="B60" s="1">
        <v>55</v>
      </c>
      <c r="C60" s="175" t="s">
        <v>580</v>
      </c>
      <c r="D60" s="7" t="s">
        <v>527</v>
      </c>
      <c r="E60" s="4"/>
      <c r="G60" s="172">
        <v>59</v>
      </c>
      <c r="H60" s="173" t="s">
        <v>130</v>
      </c>
    </row>
    <row r="61" spans="2:8" x14ac:dyDescent="0.25">
      <c r="B61" s="1">
        <v>56</v>
      </c>
      <c r="C61" s="175" t="s">
        <v>581</v>
      </c>
      <c r="D61" s="7" t="s">
        <v>527</v>
      </c>
      <c r="E61" s="4"/>
      <c r="G61" s="172">
        <v>60</v>
      </c>
      <c r="H61" s="173" t="s">
        <v>241</v>
      </c>
    </row>
    <row r="62" spans="2:8" x14ac:dyDescent="0.25">
      <c r="G62" s="172">
        <v>61</v>
      </c>
      <c r="H62" s="173" t="s">
        <v>132</v>
      </c>
    </row>
    <row r="63" spans="2:8" x14ac:dyDescent="0.25">
      <c r="G63" s="172">
        <v>62</v>
      </c>
      <c r="H63" s="173" t="s">
        <v>134</v>
      </c>
    </row>
    <row r="64" spans="2:8" x14ac:dyDescent="0.25">
      <c r="B64" s="349" t="s">
        <v>534</v>
      </c>
      <c r="C64" s="351"/>
      <c r="G64" s="172">
        <v>63</v>
      </c>
      <c r="H64" s="173" t="s">
        <v>136</v>
      </c>
    </row>
    <row r="65" spans="2:8" x14ac:dyDescent="0.25">
      <c r="B65" s="171" t="s">
        <v>220</v>
      </c>
      <c r="C65" s="171" t="s">
        <v>1</v>
      </c>
      <c r="G65" s="172">
        <v>64</v>
      </c>
      <c r="H65" s="173" t="s">
        <v>137</v>
      </c>
    </row>
    <row r="66" spans="2:8" ht="28.5" x14ac:dyDescent="0.25">
      <c r="B66" s="1">
        <v>1</v>
      </c>
      <c r="C66" s="2" t="s">
        <v>586</v>
      </c>
      <c r="G66" s="172">
        <v>71</v>
      </c>
      <c r="H66" s="174" t="s">
        <v>538</v>
      </c>
    </row>
    <row r="67" spans="2:8" ht="28.5" x14ac:dyDescent="0.25">
      <c r="B67" s="1">
        <v>2</v>
      </c>
      <c r="C67" s="2" t="s">
        <v>535</v>
      </c>
      <c r="G67" s="172">
        <v>74</v>
      </c>
      <c r="H67" s="67" t="s">
        <v>138</v>
      </c>
    </row>
    <row r="68" spans="2:8" x14ac:dyDescent="0.25">
      <c r="B68" s="1">
        <v>4</v>
      </c>
      <c r="C68" s="2" t="s">
        <v>536</v>
      </c>
      <c r="G68" s="172">
        <v>75</v>
      </c>
      <c r="H68" s="67" t="s">
        <v>139</v>
      </c>
    </row>
    <row r="69" spans="2:8" ht="28.5" x14ac:dyDescent="0.25">
      <c r="B69" s="1">
        <v>5</v>
      </c>
      <c r="C69" s="2" t="s">
        <v>537</v>
      </c>
      <c r="G69" s="172">
        <v>76</v>
      </c>
      <c r="H69" s="67" t="s">
        <v>140</v>
      </c>
    </row>
    <row r="70" spans="2:8" ht="28.5" x14ac:dyDescent="0.25">
      <c r="B70" s="1">
        <v>6</v>
      </c>
      <c r="C70" s="2" t="s">
        <v>587</v>
      </c>
      <c r="G70" s="172">
        <v>77</v>
      </c>
      <c r="H70" s="67" t="s">
        <v>141</v>
      </c>
    </row>
    <row r="71" spans="2:8" x14ac:dyDescent="0.25">
      <c r="B71" s="1">
        <v>7</v>
      </c>
      <c r="C71" s="2" t="s">
        <v>539</v>
      </c>
      <c r="G71" s="172">
        <v>78</v>
      </c>
      <c r="H71" s="67" t="s">
        <v>164</v>
      </c>
    </row>
    <row r="72" spans="2:8" ht="42.75" x14ac:dyDescent="0.25">
      <c r="B72" s="1">
        <v>8</v>
      </c>
      <c r="C72" s="2" t="s">
        <v>540</v>
      </c>
      <c r="G72" s="172">
        <v>80</v>
      </c>
      <c r="H72" s="67" t="s">
        <v>171</v>
      </c>
    </row>
    <row r="73" spans="2:8" x14ac:dyDescent="0.25">
      <c r="G73" s="172">
        <v>82</v>
      </c>
      <c r="H73" s="173" t="s">
        <v>106</v>
      </c>
    </row>
    <row r="74" spans="2:8" x14ac:dyDescent="0.25">
      <c r="G74" s="172">
        <v>83</v>
      </c>
      <c r="H74" s="173" t="s">
        <v>108</v>
      </c>
    </row>
    <row r="75" spans="2:8" x14ac:dyDescent="0.25">
      <c r="G75" s="172">
        <v>84</v>
      </c>
      <c r="H75" s="173" t="s">
        <v>110</v>
      </c>
    </row>
    <row r="76" spans="2:8" x14ac:dyDescent="0.25">
      <c r="G76" s="172">
        <v>85</v>
      </c>
      <c r="H76" s="173" t="s">
        <v>112</v>
      </c>
    </row>
    <row r="77" spans="2:8" x14ac:dyDescent="0.25">
      <c r="G77" s="172">
        <v>86</v>
      </c>
      <c r="H77" s="173" t="s">
        <v>114</v>
      </c>
    </row>
    <row r="78" spans="2:8" x14ac:dyDescent="0.25">
      <c r="G78" s="172">
        <v>87</v>
      </c>
      <c r="H78" s="173" t="s">
        <v>116</v>
      </c>
    </row>
    <row r="79" spans="2:8" x14ac:dyDescent="0.25">
      <c r="G79" s="172">
        <v>88</v>
      </c>
      <c r="H79" s="173" t="s">
        <v>541</v>
      </c>
    </row>
    <row r="80" spans="2:8" x14ac:dyDescent="0.25">
      <c r="G80" s="172">
        <v>89</v>
      </c>
      <c r="H80" s="173" t="s">
        <v>121</v>
      </c>
    </row>
    <row r="81" spans="7:8" x14ac:dyDescent="0.25">
      <c r="G81" s="172">
        <v>90</v>
      </c>
      <c r="H81" s="173" t="s">
        <v>123</v>
      </c>
    </row>
    <row r="82" spans="7:8" x14ac:dyDescent="0.25">
      <c r="G82" s="172">
        <v>91</v>
      </c>
      <c r="H82" s="173" t="s">
        <v>125</v>
      </c>
    </row>
    <row r="83" spans="7:8" x14ac:dyDescent="0.25">
      <c r="G83" s="172">
        <v>92</v>
      </c>
      <c r="H83" s="173" t="s">
        <v>127</v>
      </c>
    </row>
    <row r="84" spans="7:8" x14ac:dyDescent="0.25">
      <c r="G84" s="172">
        <v>93</v>
      </c>
      <c r="H84" s="173" t="s">
        <v>129</v>
      </c>
    </row>
    <row r="85" spans="7:8" x14ac:dyDescent="0.25">
      <c r="G85" s="172">
        <v>94</v>
      </c>
      <c r="H85" s="173" t="s">
        <v>131</v>
      </c>
    </row>
    <row r="86" spans="7:8" x14ac:dyDescent="0.25">
      <c r="G86" s="172">
        <v>95</v>
      </c>
      <c r="H86" s="173" t="s">
        <v>242</v>
      </c>
    </row>
    <row r="87" spans="7:8" x14ac:dyDescent="0.25">
      <c r="G87" s="172">
        <v>96</v>
      </c>
      <c r="H87" s="173" t="s">
        <v>133</v>
      </c>
    </row>
    <row r="88" spans="7:8" x14ac:dyDescent="0.25">
      <c r="G88" s="172">
        <v>97</v>
      </c>
      <c r="H88" s="173" t="s">
        <v>135</v>
      </c>
    </row>
    <row r="89" spans="7:8" x14ac:dyDescent="0.25">
      <c r="G89" s="172">
        <v>99</v>
      </c>
      <c r="H89" s="173" t="s">
        <v>99</v>
      </c>
    </row>
    <row r="90" spans="7:8" x14ac:dyDescent="0.25">
      <c r="G90" s="172">
        <v>100</v>
      </c>
      <c r="H90" s="173" t="s">
        <v>172</v>
      </c>
    </row>
    <row r="91" spans="7:8" x14ac:dyDescent="0.25">
      <c r="G91" s="172">
        <v>101</v>
      </c>
      <c r="H91" s="173" t="s">
        <v>542</v>
      </c>
    </row>
    <row r="92" spans="7:8" x14ac:dyDescent="0.25">
      <c r="G92" s="172">
        <v>107</v>
      </c>
      <c r="H92" s="175" t="s">
        <v>543</v>
      </c>
    </row>
    <row r="93" spans="7:8" x14ac:dyDescent="0.25">
      <c r="G93" s="179">
        <v>108</v>
      </c>
      <c r="H93" s="175" t="s">
        <v>510</v>
      </c>
    </row>
    <row r="94" spans="7:8" x14ac:dyDescent="0.25">
      <c r="G94" s="179">
        <v>109</v>
      </c>
      <c r="H94" s="175" t="s">
        <v>511</v>
      </c>
    </row>
    <row r="95" spans="7:8" x14ac:dyDescent="0.25">
      <c r="G95" s="179">
        <v>110</v>
      </c>
      <c r="H95" s="182" t="s">
        <v>582</v>
      </c>
    </row>
    <row r="96" spans="7:8" x14ac:dyDescent="0.25">
      <c r="G96" s="179">
        <v>111</v>
      </c>
      <c r="H96" s="182" t="s">
        <v>583</v>
      </c>
    </row>
    <row r="97" spans="1:10" x14ac:dyDescent="0.25">
      <c r="G97" s="179">
        <v>112</v>
      </c>
      <c r="H97" s="182" t="s">
        <v>584</v>
      </c>
    </row>
    <row r="98" spans="1:10" x14ac:dyDescent="0.25">
      <c r="G98" s="179">
        <v>113</v>
      </c>
      <c r="H98" s="182" t="s">
        <v>585</v>
      </c>
    </row>
    <row r="100" spans="1:10" x14ac:dyDescent="0.25">
      <c r="A100" s="49"/>
      <c r="B100" s="49"/>
      <c r="C100" s="49"/>
      <c r="D100" s="49"/>
      <c r="E100" s="49"/>
      <c r="F100" s="49"/>
      <c r="G100" s="49"/>
      <c r="H100" s="49"/>
      <c r="I100" s="49"/>
      <c r="J100" s="49"/>
    </row>
    <row r="102" spans="1:10" x14ac:dyDescent="0.25">
      <c r="B102" s="169" t="s">
        <v>513</v>
      </c>
      <c r="C102" s="169"/>
      <c r="D102" s="169"/>
      <c r="E102" s="169"/>
      <c r="F102" s="169"/>
      <c r="G102" s="169"/>
      <c r="H102" s="169"/>
    </row>
    <row r="104" spans="1:10" x14ac:dyDescent="0.25">
      <c r="B104" s="357" t="s">
        <v>521</v>
      </c>
      <c r="C104" s="357"/>
      <c r="D104" s="357"/>
      <c r="E104" s="357"/>
      <c r="G104" s="349" t="s">
        <v>522</v>
      </c>
      <c r="H104" s="351"/>
    </row>
    <row r="105" spans="1:10" ht="30" x14ac:dyDescent="0.25">
      <c r="B105" s="171" t="s">
        <v>49</v>
      </c>
      <c r="C105" s="171" t="s">
        <v>1</v>
      </c>
      <c r="D105" s="171" t="s">
        <v>523</v>
      </c>
      <c r="E105" s="171" t="s">
        <v>524</v>
      </c>
      <c r="G105" s="171" t="s">
        <v>525</v>
      </c>
      <c r="H105" s="171" t="s">
        <v>1</v>
      </c>
    </row>
    <row r="106" spans="1:10" ht="70.5" hidden="1" customHeight="1" outlineLevel="1" x14ac:dyDescent="0.25">
      <c r="B106" s="352" t="s">
        <v>544</v>
      </c>
      <c r="C106" s="353"/>
      <c r="D106" s="353"/>
      <c r="E106" s="354"/>
      <c r="G106" s="176"/>
      <c r="H106" s="171"/>
    </row>
    <row r="107" spans="1:10" ht="30" collapsed="1" x14ac:dyDescent="0.25">
      <c r="B107" s="1">
        <v>39</v>
      </c>
      <c r="C107" s="2" t="s">
        <v>35</v>
      </c>
      <c r="D107" s="7" t="s">
        <v>527</v>
      </c>
      <c r="E107" s="41" t="s">
        <v>545</v>
      </c>
      <c r="G107" s="172">
        <v>2</v>
      </c>
      <c r="H107" s="2" t="s">
        <v>222</v>
      </c>
    </row>
    <row r="108" spans="1:10" ht="42.75" x14ac:dyDescent="0.25">
      <c r="B108" s="1">
        <v>53</v>
      </c>
      <c r="C108" s="183" t="s">
        <v>47</v>
      </c>
      <c r="D108" s="7" t="s">
        <v>527</v>
      </c>
      <c r="E108" s="4"/>
      <c r="G108" s="177">
        <v>65</v>
      </c>
      <c r="H108" s="173" t="s">
        <v>546</v>
      </c>
    </row>
    <row r="109" spans="1:10" ht="28.5" x14ac:dyDescent="0.25">
      <c r="G109" s="177">
        <v>66</v>
      </c>
      <c r="H109" s="173" t="s">
        <v>547</v>
      </c>
    </row>
    <row r="110" spans="1:10" x14ac:dyDescent="0.25">
      <c r="G110" s="178">
        <v>101</v>
      </c>
      <c r="H110" s="173" t="s">
        <v>542</v>
      </c>
    </row>
    <row r="111" spans="1:10" ht="42.75" x14ac:dyDescent="0.25">
      <c r="G111" s="179">
        <v>105</v>
      </c>
      <c r="H111" s="67" t="s">
        <v>548</v>
      </c>
    </row>
    <row r="112" spans="1:10" ht="42.75" x14ac:dyDescent="0.25">
      <c r="G112" s="179">
        <v>106</v>
      </c>
      <c r="H112" s="183" t="s">
        <v>549</v>
      </c>
    </row>
    <row r="114" spans="2:8" x14ac:dyDescent="0.25">
      <c r="B114" s="169" t="s">
        <v>514</v>
      </c>
      <c r="C114" s="169"/>
      <c r="D114" s="169"/>
      <c r="E114" s="169"/>
      <c r="F114" s="169"/>
      <c r="G114" s="169"/>
      <c r="H114" s="169"/>
    </row>
    <row r="116" spans="2:8" x14ac:dyDescent="0.25">
      <c r="B116" s="357" t="s">
        <v>521</v>
      </c>
      <c r="C116" s="357"/>
      <c r="D116" s="357"/>
      <c r="E116" s="357"/>
      <c r="G116" s="349" t="s">
        <v>522</v>
      </c>
      <c r="H116" s="351"/>
    </row>
    <row r="117" spans="2:8" ht="30" x14ac:dyDescent="0.25">
      <c r="B117" s="171" t="s">
        <v>49</v>
      </c>
      <c r="C117" s="171" t="s">
        <v>1</v>
      </c>
      <c r="D117" s="171" t="s">
        <v>523</v>
      </c>
      <c r="E117" s="171" t="s">
        <v>524</v>
      </c>
      <c r="G117" s="171" t="s">
        <v>525</v>
      </c>
      <c r="H117" s="171" t="s">
        <v>1</v>
      </c>
    </row>
    <row r="118" spans="2:8" ht="149.25" hidden="1" customHeight="1" outlineLevel="1" x14ac:dyDescent="0.25">
      <c r="B118" s="352" t="s">
        <v>550</v>
      </c>
      <c r="C118" s="353"/>
      <c r="D118" s="353"/>
      <c r="E118" s="354"/>
    </row>
    <row r="119" spans="2:8" ht="30" collapsed="1" x14ac:dyDescent="0.25">
      <c r="B119" s="1">
        <v>44</v>
      </c>
      <c r="C119" s="2" t="s">
        <v>36</v>
      </c>
      <c r="D119" s="7" t="s">
        <v>527</v>
      </c>
      <c r="E119" s="41" t="s">
        <v>159</v>
      </c>
      <c r="G119" s="172">
        <v>2</v>
      </c>
      <c r="H119" s="2" t="s">
        <v>222</v>
      </c>
    </row>
    <row r="120" spans="2:8" ht="42.75" x14ac:dyDescent="0.25">
      <c r="B120" s="1">
        <v>51</v>
      </c>
      <c r="C120" s="67" t="s">
        <v>45</v>
      </c>
      <c r="D120" s="7" t="s">
        <v>64</v>
      </c>
      <c r="E120" s="7" t="s">
        <v>160</v>
      </c>
      <c r="G120" s="177">
        <v>69</v>
      </c>
      <c r="H120" s="173" t="s">
        <v>551</v>
      </c>
    </row>
    <row r="121" spans="2:8" ht="42.75" x14ac:dyDescent="0.25">
      <c r="B121" s="1">
        <v>52</v>
      </c>
      <c r="C121" s="183" t="s">
        <v>46</v>
      </c>
      <c r="D121" s="7" t="s">
        <v>527</v>
      </c>
      <c r="E121" s="4"/>
      <c r="G121" s="177">
        <v>70</v>
      </c>
      <c r="H121" s="173" t="s">
        <v>552</v>
      </c>
    </row>
    <row r="122" spans="2:8" x14ac:dyDescent="0.25">
      <c r="G122" s="178">
        <v>101</v>
      </c>
      <c r="H122" s="173" t="s">
        <v>542</v>
      </c>
    </row>
    <row r="123" spans="2:8" ht="42.75" x14ac:dyDescent="0.25">
      <c r="G123" s="179">
        <v>102</v>
      </c>
      <c r="H123" s="67" t="s">
        <v>553</v>
      </c>
    </row>
    <row r="124" spans="2:8" ht="42.75" x14ac:dyDescent="0.25">
      <c r="B124" s="349" t="s">
        <v>534</v>
      </c>
      <c r="C124" s="351"/>
      <c r="G124" s="179">
        <v>103</v>
      </c>
      <c r="H124" s="67" t="s">
        <v>554</v>
      </c>
    </row>
    <row r="125" spans="2:8" ht="42.75" x14ac:dyDescent="0.25">
      <c r="B125" s="171" t="s">
        <v>220</v>
      </c>
      <c r="C125" s="171" t="s">
        <v>1</v>
      </c>
      <c r="G125" s="179">
        <v>104</v>
      </c>
      <c r="H125" s="67" t="s">
        <v>555</v>
      </c>
    </row>
    <row r="126" spans="2:8" ht="28.5" x14ac:dyDescent="0.25">
      <c r="B126" s="1">
        <v>1</v>
      </c>
      <c r="C126" s="2" t="s">
        <v>586</v>
      </c>
    </row>
    <row r="127" spans="2:8" x14ac:dyDescent="0.25">
      <c r="B127" s="1">
        <v>4</v>
      </c>
      <c r="C127" s="2" t="s">
        <v>536</v>
      </c>
    </row>
    <row r="128" spans="2:8" ht="28.5" x14ac:dyDescent="0.25">
      <c r="B128" s="1">
        <v>5</v>
      </c>
      <c r="C128" s="2" t="s">
        <v>537</v>
      </c>
    </row>
    <row r="135" spans="1:10" x14ac:dyDescent="0.25">
      <c r="A135" s="49"/>
      <c r="B135" s="49"/>
      <c r="C135" s="49"/>
      <c r="D135" s="49"/>
      <c r="E135" s="49"/>
      <c r="F135" s="49"/>
      <c r="G135" s="49"/>
      <c r="H135" s="49"/>
      <c r="I135" s="49"/>
      <c r="J135" s="49"/>
    </row>
    <row r="137" spans="1:10" ht="34.5" customHeight="1" x14ac:dyDescent="0.25">
      <c r="B137" s="358" t="s">
        <v>515</v>
      </c>
      <c r="C137" s="358"/>
      <c r="D137" s="358"/>
      <c r="E137" s="358"/>
      <c r="F137" s="358"/>
      <c r="G137" s="358"/>
      <c r="H137" s="358"/>
    </row>
    <row r="139" spans="1:10" x14ac:dyDescent="0.25">
      <c r="B139" s="357" t="s">
        <v>521</v>
      </c>
      <c r="C139" s="357"/>
      <c r="D139" s="357"/>
      <c r="E139" s="357"/>
      <c r="G139" s="349" t="s">
        <v>522</v>
      </c>
      <c r="H139" s="351"/>
    </row>
    <row r="140" spans="1:10" ht="30" x14ac:dyDescent="0.25">
      <c r="B140" s="171" t="s">
        <v>49</v>
      </c>
      <c r="C140" s="171" t="s">
        <v>1</v>
      </c>
      <c r="D140" s="171" t="s">
        <v>523</v>
      </c>
      <c r="E140" s="171" t="s">
        <v>524</v>
      </c>
      <c r="G140" s="171" t="s">
        <v>525</v>
      </c>
      <c r="H140" s="171" t="s">
        <v>1</v>
      </c>
    </row>
    <row r="141" spans="1:10" ht="53.25" hidden="1" customHeight="1" outlineLevel="1" x14ac:dyDescent="0.25">
      <c r="B141" s="359" t="s">
        <v>556</v>
      </c>
      <c r="C141" s="360"/>
      <c r="D141" s="360"/>
      <c r="E141" s="360"/>
    </row>
    <row r="142" spans="1:10" ht="40.5" hidden="1" customHeight="1" outlineLevel="1" x14ac:dyDescent="0.25">
      <c r="B142" s="180" t="s">
        <v>557</v>
      </c>
      <c r="C142" s="355" t="s">
        <v>558</v>
      </c>
      <c r="D142" s="355"/>
      <c r="E142" s="355"/>
    </row>
    <row r="143" spans="1:10" ht="36" hidden="1" customHeight="1" outlineLevel="1" x14ac:dyDescent="0.25">
      <c r="B143" s="180" t="s">
        <v>559</v>
      </c>
      <c r="C143" s="355" t="s">
        <v>560</v>
      </c>
      <c r="D143" s="355"/>
      <c r="E143" s="355"/>
    </row>
    <row r="144" spans="1:10" ht="164.25" hidden="1" customHeight="1" outlineLevel="1" x14ac:dyDescent="0.25">
      <c r="B144" s="180" t="s">
        <v>561</v>
      </c>
      <c r="C144" s="356" t="s">
        <v>562</v>
      </c>
      <c r="D144" s="355"/>
      <c r="E144" s="355"/>
    </row>
    <row r="145" spans="1:10" ht="49.5" hidden="1" customHeight="1" outlineLevel="1" x14ac:dyDescent="0.25">
      <c r="B145" s="180" t="s">
        <v>563</v>
      </c>
      <c r="C145" s="356" t="s">
        <v>564</v>
      </c>
      <c r="D145" s="355"/>
      <c r="E145" s="355"/>
    </row>
    <row r="146" spans="1:10" ht="45.75" hidden="1" customHeight="1" outlineLevel="1" x14ac:dyDescent="0.25">
      <c r="B146" s="180" t="s">
        <v>565</v>
      </c>
      <c r="C146" s="356" t="s">
        <v>566</v>
      </c>
      <c r="D146" s="355"/>
      <c r="E146" s="355"/>
    </row>
    <row r="147" spans="1:10" ht="92.25" hidden="1" customHeight="1" outlineLevel="1" x14ac:dyDescent="0.25">
      <c r="B147" s="180" t="s">
        <v>567</v>
      </c>
      <c r="C147" s="356" t="s">
        <v>568</v>
      </c>
      <c r="D147" s="355"/>
      <c r="E147" s="355"/>
    </row>
    <row r="148" spans="1:10" collapsed="1" x14ac:dyDescent="0.25">
      <c r="B148" s="1">
        <v>45</v>
      </c>
      <c r="C148" s="2" t="s">
        <v>37</v>
      </c>
      <c r="D148" s="7" t="s">
        <v>64</v>
      </c>
      <c r="E148" s="7" t="s">
        <v>160</v>
      </c>
      <c r="G148" s="1">
        <v>2</v>
      </c>
      <c r="H148" s="2" t="s">
        <v>222</v>
      </c>
    </row>
    <row r="149" spans="1:10" ht="28.5" x14ac:dyDescent="0.25">
      <c r="B149" s="1" t="s">
        <v>38</v>
      </c>
      <c r="C149" s="3" t="s">
        <v>39</v>
      </c>
      <c r="D149" s="7" t="s">
        <v>64</v>
      </c>
      <c r="E149" s="7" t="s">
        <v>160</v>
      </c>
      <c r="G149" s="177">
        <v>73</v>
      </c>
      <c r="H149" s="173" t="s">
        <v>569</v>
      </c>
    </row>
    <row r="150" spans="1:10" x14ac:dyDescent="0.25">
      <c r="G150" s="178">
        <v>98</v>
      </c>
      <c r="H150" s="173" t="s">
        <v>570</v>
      </c>
    </row>
    <row r="151" spans="1:10" x14ac:dyDescent="0.25">
      <c r="B151" s="349" t="s">
        <v>534</v>
      </c>
      <c r="C151" s="351"/>
      <c r="G151" s="178">
        <v>101</v>
      </c>
      <c r="H151" s="173" t="s">
        <v>542</v>
      </c>
    </row>
    <row r="152" spans="1:10" x14ac:dyDescent="0.25">
      <c r="B152" s="171" t="s">
        <v>220</v>
      </c>
      <c r="C152" s="171" t="s">
        <v>1</v>
      </c>
    </row>
    <row r="153" spans="1:10" ht="28.5" x14ac:dyDescent="0.25">
      <c r="B153" s="1">
        <v>1</v>
      </c>
      <c r="C153" s="2" t="s">
        <v>586</v>
      </c>
    </row>
    <row r="154" spans="1:10" x14ac:dyDescent="0.25">
      <c r="B154" s="1">
        <v>4</v>
      </c>
      <c r="C154" s="2" t="s">
        <v>536</v>
      </c>
    </row>
    <row r="155" spans="1:10" ht="28.5" x14ac:dyDescent="0.25">
      <c r="B155" s="1">
        <v>5</v>
      </c>
      <c r="C155" s="2" t="s">
        <v>537</v>
      </c>
    </row>
    <row r="158" spans="1:10" x14ac:dyDescent="0.25">
      <c r="A158" s="49"/>
      <c r="B158" s="49"/>
      <c r="C158" s="49"/>
      <c r="D158" s="49"/>
      <c r="E158" s="49"/>
      <c r="F158" s="49"/>
      <c r="G158" s="49"/>
      <c r="H158" s="49"/>
      <c r="I158" s="49"/>
      <c r="J158" s="49"/>
    </row>
    <row r="160" spans="1:10" x14ac:dyDescent="0.25">
      <c r="B160" s="348" t="s">
        <v>516</v>
      </c>
      <c r="C160" s="348"/>
      <c r="D160" s="348"/>
      <c r="E160" s="348"/>
    </row>
    <row r="162" spans="2:8" x14ac:dyDescent="0.25">
      <c r="B162" s="349" t="s">
        <v>521</v>
      </c>
      <c r="C162" s="350"/>
      <c r="D162" s="350"/>
      <c r="E162" s="351"/>
      <c r="G162" s="349" t="s">
        <v>522</v>
      </c>
      <c r="H162" s="351"/>
    </row>
    <row r="163" spans="2:8" ht="30" x14ac:dyDescent="0.25">
      <c r="B163" s="171" t="s">
        <v>49</v>
      </c>
      <c r="C163" s="171" t="s">
        <v>1</v>
      </c>
      <c r="D163" s="171" t="s">
        <v>523</v>
      </c>
      <c r="E163" s="171" t="s">
        <v>524</v>
      </c>
      <c r="G163" s="171" t="s">
        <v>525</v>
      </c>
      <c r="H163" s="171" t="s">
        <v>1</v>
      </c>
    </row>
    <row r="164" spans="2:8" ht="159.75" hidden="1" customHeight="1" outlineLevel="1" x14ac:dyDescent="0.25">
      <c r="B164" s="352" t="s">
        <v>550</v>
      </c>
      <c r="C164" s="353"/>
      <c r="D164" s="353"/>
      <c r="E164" s="354"/>
    </row>
    <row r="165" spans="2:8" ht="30" collapsed="1" x14ac:dyDescent="0.25">
      <c r="B165" s="1">
        <v>22</v>
      </c>
      <c r="C165" s="2" t="s">
        <v>18</v>
      </c>
      <c r="D165" s="7" t="s">
        <v>527</v>
      </c>
      <c r="E165" s="41" t="s">
        <v>161</v>
      </c>
      <c r="G165" s="1">
        <v>2</v>
      </c>
      <c r="H165" s="2" t="s">
        <v>222</v>
      </c>
    </row>
    <row r="166" spans="2:8" ht="30" x14ac:dyDescent="0.25">
      <c r="B166" s="1">
        <v>23</v>
      </c>
      <c r="C166" s="2" t="s">
        <v>19</v>
      </c>
      <c r="D166" s="7" t="s">
        <v>527</v>
      </c>
      <c r="E166" s="41" t="s">
        <v>161</v>
      </c>
      <c r="G166" s="177">
        <v>44</v>
      </c>
      <c r="H166" s="173" t="s">
        <v>571</v>
      </c>
    </row>
    <row r="167" spans="2:8" ht="30" x14ac:dyDescent="0.25">
      <c r="B167" s="1">
        <v>25</v>
      </c>
      <c r="C167" s="2" t="s">
        <v>21</v>
      </c>
      <c r="D167" s="7" t="s">
        <v>527</v>
      </c>
      <c r="E167" s="41" t="s">
        <v>161</v>
      </c>
      <c r="G167" s="177">
        <v>45</v>
      </c>
      <c r="H167" s="173" t="s">
        <v>572</v>
      </c>
    </row>
    <row r="168" spans="2:8" x14ac:dyDescent="0.25">
      <c r="G168" s="177">
        <v>46</v>
      </c>
      <c r="H168" s="173" t="s">
        <v>573</v>
      </c>
    </row>
    <row r="169" spans="2:8" x14ac:dyDescent="0.25">
      <c r="G169" s="177">
        <v>47</v>
      </c>
      <c r="H169" s="173" t="s">
        <v>574</v>
      </c>
    </row>
    <row r="170" spans="2:8" x14ac:dyDescent="0.25">
      <c r="B170" s="349" t="s">
        <v>534</v>
      </c>
      <c r="C170" s="351"/>
      <c r="G170" s="177">
        <v>49</v>
      </c>
      <c r="H170" s="173" t="s">
        <v>575</v>
      </c>
    </row>
    <row r="171" spans="2:8" x14ac:dyDescent="0.25">
      <c r="B171" s="171" t="s">
        <v>220</v>
      </c>
      <c r="C171" s="171" t="s">
        <v>1</v>
      </c>
      <c r="G171" s="177">
        <v>50</v>
      </c>
      <c r="H171" s="173" t="s">
        <v>576</v>
      </c>
    </row>
    <row r="172" spans="2:8" ht="28.5" x14ac:dyDescent="0.25">
      <c r="B172" s="1">
        <v>1</v>
      </c>
      <c r="C172" s="2" t="s">
        <v>586</v>
      </c>
      <c r="G172" s="177">
        <v>67</v>
      </c>
      <c r="H172" s="173" t="s">
        <v>577</v>
      </c>
    </row>
    <row r="173" spans="2:8" x14ac:dyDescent="0.25">
      <c r="B173" s="1">
        <v>4</v>
      </c>
      <c r="C173" s="2" t="s">
        <v>536</v>
      </c>
      <c r="G173" s="178">
        <v>101</v>
      </c>
      <c r="H173" s="173" t="s">
        <v>542</v>
      </c>
    </row>
    <row r="174" spans="2:8" ht="28.5" x14ac:dyDescent="0.25">
      <c r="B174" s="1">
        <v>5</v>
      </c>
      <c r="C174" s="2" t="s">
        <v>537</v>
      </c>
    </row>
  </sheetData>
  <mergeCells count="38">
    <mergeCell ref="B14:E14"/>
    <mergeCell ref="G14:H18"/>
    <mergeCell ref="B15:E15"/>
    <mergeCell ref="B16:E18"/>
    <mergeCell ref="B4:H4"/>
    <mergeCell ref="B5:H5"/>
    <mergeCell ref="B6:H6"/>
    <mergeCell ref="B7:H7"/>
    <mergeCell ref="B8:H8"/>
    <mergeCell ref="B20:E20"/>
    <mergeCell ref="G20:H20"/>
    <mergeCell ref="B23:E23"/>
    <mergeCell ref="B36:E36"/>
    <mergeCell ref="B38:E38"/>
    <mergeCell ref="G104:H104"/>
    <mergeCell ref="B106:E106"/>
    <mergeCell ref="B116:E116"/>
    <mergeCell ref="G116:H116"/>
    <mergeCell ref="B118:E118"/>
    <mergeCell ref="C146:E146"/>
    <mergeCell ref="C147:E147"/>
    <mergeCell ref="B151:C151"/>
    <mergeCell ref="B137:H137"/>
    <mergeCell ref="B139:E139"/>
    <mergeCell ref="G139:H139"/>
    <mergeCell ref="B141:E141"/>
    <mergeCell ref="C142:E142"/>
    <mergeCell ref="B64:C64"/>
    <mergeCell ref="B124:C124"/>
    <mergeCell ref="C143:E143"/>
    <mergeCell ref="C144:E144"/>
    <mergeCell ref="C145:E145"/>
    <mergeCell ref="B104:E104"/>
    <mergeCell ref="B160:E160"/>
    <mergeCell ref="B162:E162"/>
    <mergeCell ref="G162:H162"/>
    <mergeCell ref="B164:E164"/>
    <mergeCell ref="B170:C170"/>
  </mergeCells>
  <hyperlinks>
    <hyperlink ref="B4" location="APEND6!B13" display="Para el TipoRegimen “002-Sueldos”" xr:uid="{37DC035A-A39F-47DC-8C94-1FA2D9145BE2}"/>
    <hyperlink ref="B5" location="APEND6!B88" display="Para el TipoRegimen “003- Jubilados”, “004-Pensionados” y “012- Jubilados o Pensionados”, específicamente para los casos de Jubilación en una sola exhibición" xr:uid="{E2F5B8D5-91FA-4175-8B8B-BAA1B3BCED0B}"/>
    <hyperlink ref="B6" location="APEND6!B99" display="Para el TipoRegimen “003- Jubilados”, “004-Pensionados” y “012- Jubilados o Pensionados”, específicamente para los casos de Jubilación en parcialidades" xr:uid="{FC916E2E-BAE8-4DE8-94E8-AAC7818B24F6}"/>
    <hyperlink ref="B7:H7" location="APEND6!A131" display="Para el TipoRegimen “05-Asimilados Miembros Sociedades Cooperativas Produccion”, “06-Asimilados Integrantes Sociedades Asociaciones Civiles”, “07-Asimilados Miembros consejos”, “08-Asimilados comisionistas”, “09- Asimilados Honorarios”, “10-Asimilados acciones” y “11-Asimilados otros”" xr:uid="{6BC365D5-94A3-40A0-86F0-1FC586918B26}"/>
    <hyperlink ref="B8" location="APEND6!A137" display="Para el TipoRegimen “13- Indemnización o Separación”" xr:uid="{95FD8EA7-E31D-44FF-860C-C6E44A1A04E0}"/>
    <hyperlink ref="E13" location="MENU!B5" display="Ir al MENÚ" xr:uid="{6F9491A4-6A40-4BC1-B1DC-DE07F4DEB110}"/>
    <hyperlink ref="B5:H5" location="APEND6!B96" display="Para el TipoRegimen “003- Jubilados”, “004-Pensionados” y “012- Jubilados o Pensionados”, específicamente para los casos de Jubilación en una sola exhibición" xr:uid="{B87F5987-3AF8-4F70-B259-D3D31D69B3A6}"/>
    <hyperlink ref="B6:H6" location="APEND6!B108" display="Para el TipoRegimen “003- Jubilados”, “004-Pensionados” y “012- Jubilados o Pensionados”, específicamente para los casos de Jubilación en parcialidades" xr:uid="{4FA038BD-1F86-4F79-806E-0980775FDD3C}"/>
    <hyperlink ref="B8:H8" location="APEND6!B154" display="Para el TipoRegimen “13- Indemnización o Separación”" xr:uid="{0CA476AB-6DBC-403C-9E8D-4F90D6F7F9E8}"/>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EC55-DBB7-407E-8122-18F7E8F3B60F}">
  <sheetPr codeName="Hoja3"/>
  <dimension ref="B4:J437"/>
  <sheetViews>
    <sheetView showGridLines="0" zoomScale="110" zoomScaleNormal="110" workbookViewId="0">
      <selection activeCell="C199" sqref="C199"/>
    </sheetView>
  </sheetViews>
  <sheetFormatPr baseColWidth="10" defaultRowHeight="15" x14ac:dyDescent="0.25"/>
  <cols>
    <col min="1" max="1" width="6.85546875" customWidth="1"/>
    <col min="2" max="2" width="17.28515625" customWidth="1"/>
    <col min="3" max="3" width="58.85546875" customWidth="1"/>
    <col min="4" max="4" width="16.85546875" customWidth="1"/>
    <col min="5" max="5" width="14.85546875" customWidth="1"/>
    <col min="6" max="6" width="13.140625" customWidth="1"/>
    <col min="7" max="7" width="12.42578125" customWidth="1"/>
    <col min="10" max="10" width="36.28515625" customWidth="1"/>
  </cols>
  <sheetData>
    <row r="4" spans="2:9" x14ac:dyDescent="0.25">
      <c r="E4" s="389" t="s">
        <v>504</v>
      </c>
      <c r="F4" s="389"/>
      <c r="G4" s="389"/>
      <c r="H4" s="389"/>
    </row>
    <row r="5" spans="2:9" ht="30" x14ac:dyDescent="0.25">
      <c r="B5" s="5" t="s">
        <v>49</v>
      </c>
      <c r="C5" s="5" t="s">
        <v>1</v>
      </c>
      <c r="D5" s="6" t="s">
        <v>48</v>
      </c>
      <c r="E5" s="162" t="s">
        <v>505</v>
      </c>
      <c r="F5" s="377" t="s">
        <v>506</v>
      </c>
      <c r="G5" s="377"/>
      <c r="H5" s="377"/>
    </row>
    <row r="6" spans="2:9" ht="28.5" customHeight="1" x14ac:dyDescent="0.25">
      <c r="B6" s="1">
        <v>1</v>
      </c>
      <c r="C6" s="2" t="s">
        <v>2</v>
      </c>
      <c r="D6" s="7" t="s">
        <v>50</v>
      </c>
      <c r="E6" s="160">
        <v>12</v>
      </c>
      <c r="F6" s="385" t="s">
        <v>96</v>
      </c>
      <c r="G6" s="385"/>
      <c r="H6" s="385"/>
    </row>
    <row r="7" spans="2:9" ht="39" customHeight="1" x14ac:dyDescent="0.25">
      <c r="B7" s="398" t="s">
        <v>70</v>
      </c>
      <c r="C7" s="398"/>
      <c r="D7" s="398"/>
      <c r="E7" s="160">
        <v>13</v>
      </c>
      <c r="F7" s="385" t="s">
        <v>97</v>
      </c>
      <c r="G7" s="385"/>
      <c r="H7" s="385"/>
    </row>
    <row r="8" spans="2:9" ht="49.5" customHeight="1" x14ac:dyDescent="0.25">
      <c r="B8" s="399" t="s">
        <v>71</v>
      </c>
      <c r="C8" s="400"/>
      <c r="D8" s="400"/>
      <c r="E8" s="160">
        <v>20</v>
      </c>
      <c r="F8" s="385" t="s">
        <v>98</v>
      </c>
      <c r="G8" s="385"/>
      <c r="H8" s="385"/>
    </row>
    <row r="9" spans="2:9" ht="84" customHeight="1" x14ac:dyDescent="0.25">
      <c r="B9" s="398" t="s">
        <v>72</v>
      </c>
      <c r="C9" s="398"/>
      <c r="D9" s="398"/>
      <c r="E9" s="160">
        <v>99</v>
      </c>
      <c r="F9" s="385" t="s">
        <v>99</v>
      </c>
      <c r="G9" s="385"/>
      <c r="H9" s="385"/>
    </row>
    <row r="10" spans="2:9" ht="84" customHeight="1" x14ac:dyDescent="0.25">
      <c r="B10" s="398" t="s">
        <v>507</v>
      </c>
      <c r="C10" s="398"/>
      <c r="D10" s="398"/>
    </row>
    <row r="11" spans="2:9" ht="15" customHeight="1" x14ac:dyDescent="0.25">
      <c r="B11" s="401" t="s">
        <v>55</v>
      </c>
      <c r="C11" s="401"/>
      <c r="D11" s="23">
        <v>15000</v>
      </c>
      <c r="E11" s="8" t="s">
        <v>51</v>
      </c>
      <c r="F11" s="9" t="s">
        <v>52</v>
      </c>
      <c r="G11" s="10" t="s">
        <v>53</v>
      </c>
      <c r="I11" s="26"/>
    </row>
    <row r="12" spans="2:9" ht="15" customHeight="1" x14ac:dyDescent="0.25">
      <c r="B12" s="14"/>
      <c r="C12" s="14" t="s">
        <v>56</v>
      </c>
      <c r="D12" s="23">
        <v>30</v>
      </c>
      <c r="E12" s="11" t="s">
        <v>54</v>
      </c>
      <c r="F12" s="11" t="s">
        <v>54</v>
      </c>
      <c r="G12" s="11" t="s">
        <v>54</v>
      </c>
    </row>
    <row r="13" spans="2:9" ht="15" customHeight="1" x14ac:dyDescent="0.25">
      <c r="B13" s="14"/>
      <c r="C13" s="14" t="s">
        <v>57</v>
      </c>
      <c r="D13" s="24" t="str">
        <f>IFERROR(IF(CONTRA=GENERAL!B107,ROUND(D11/D12,2),""),"")</f>
        <v/>
      </c>
      <c r="E13" s="25" t="str">
        <f>$D$13</f>
        <v/>
      </c>
      <c r="F13" s="25" t="str">
        <f t="shared" ref="F13:G13" si="0">$D$13</f>
        <v/>
      </c>
      <c r="G13" s="25" t="str">
        <f t="shared" si="0"/>
        <v/>
      </c>
    </row>
    <row r="14" spans="2:9" ht="15" customHeight="1" x14ac:dyDescent="0.25">
      <c r="B14" s="14"/>
      <c r="C14" s="14"/>
      <c r="D14" s="24"/>
      <c r="E14" s="28"/>
      <c r="F14" s="28"/>
      <c r="G14" s="28"/>
    </row>
    <row r="15" spans="2:9" ht="35.25" customHeight="1" x14ac:dyDescent="0.25">
      <c r="B15" s="397" t="s">
        <v>74</v>
      </c>
      <c r="C15" s="397"/>
      <c r="D15" s="397"/>
    </row>
    <row r="16" spans="2:9" ht="81.75" customHeight="1" x14ac:dyDescent="0.25">
      <c r="B16" s="397" t="s">
        <v>75</v>
      </c>
      <c r="C16" s="397"/>
      <c r="D16" s="397"/>
    </row>
    <row r="17" spans="2:10" ht="15" customHeight="1" x14ac:dyDescent="0.25">
      <c r="B17" s="14"/>
      <c r="C17" s="27" t="s">
        <v>58</v>
      </c>
      <c r="D17" s="16">
        <v>7</v>
      </c>
    </row>
    <row r="18" spans="2:10" ht="15" customHeight="1" x14ac:dyDescent="0.25">
      <c r="B18" s="14"/>
      <c r="C18" s="27" t="s">
        <v>59</v>
      </c>
      <c r="D18" s="17">
        <v>2</v>
      </c>
    </row>
    <row r="19" spans="2:10" ht="15" customHeight="1" x14ac:dyDescent="0.25">
      <c r="B19" s="14"/>
      <c r="C19" s="27" t="s">
        <v>62</v>
      </c>
      <c r="D19" s="28" t="str">
        <f>IFERROR(IF(CONTRA=GENERAL!B107,D17-D18,""),"")</f>
        <v/>
      </c>
    </row>
    <row r="20" spans="2:10" ht="15" customHeight="1" x14ac:dyDescent="0.25">
      <c r="B20" s="14"/>
      <c r="C20" s="27" t="s">
        <v>61</v>
      </c>
      <c r="D20" s="28">
        <f>IFERROR(ROUND(1/6*D18,2),"")</f>
        <v>0.33</v>
      </c>
    </row>
    <row r="21" spans="2:10" ht="15" customHeight="1" x14ac:dyDescent="0.25">
      <c r="B21" s="14"/>
      <c r="C21" s="27" t="s">
        <v>60</v>
      </c>
      <c r="D21" s="24" t="str">
        <f>IFERROR(ROUND(D19-D20,2),"")</f>
        <v/>
      </c>
    </row>
    <row r="22" spans="2:10" ht="15" customHeight="1" x14ac:dyDescent="0.25">
      <c r="B22" s="14"/>
      <c r="C22" s="27" t="s">
        <v>63</v>
      </c>
      <c r="D22" s="18">
        <v>500</v>
      </c>
    </row>
    <row r="23" spans="2:10" ht="15" customHeight="1" x14ac:dyDescent="0.25">
      <c r="B23" s="14"/>
      <c r="C23" s="14"/>
      <c r="D23" s="13"/>
    </row>
    <row r="24" spans="2:10" ht="33" customHeight="1" x14ac:dyDescent="0.25">
      <c r="B24" s="22" t="s">
        <v>49</v>
      </c>
      <c r="C24" s="22" t="s">
        <v>1</v>
      </c>
      <c r="D24" s="22" t="s">
        <v>64</v>
      </c>
      <c r="E24" s="22" t="s">
        <v>65</v>
      </c>
    </row>
    <row r="25" spans="2:10" ht="15" customHeight="1" x14ac:dyDescent="0.25">
      <c r="B25" s="1">
        <v>1</v>
      </c>
      <c r="C25" s="2" t="s">
        <v>508</v>
      </c>
      <c r="D25" s="19" t="str">
        <f>IFERROR(ROUND(D22*D21,2),"")</f>
        <v/>
      </c>
      <c r="E25" s="20"/>
    </row>
    <row r="26" spans="2:10" ht="15" customHeight="1" x14ac:dyDescent="0.25">
      <c r="B26" s="14"/>
      <c r="C26" s="14"/>
      <c r="D26" s="13"/>
    </row>
    <row r="27" spans="2:10" ht="15" customHeight="1" x14ac:dyDescent="0.25">
      <c r="B27" s="14"/>
      <c r="C27" s="14"/>
      <c r="D27" s="13"/>
    </row>
    <row r="28" spans="2:10" ht="15" customHeight="1" x14ac:dyDescent="0.25">
      <c r="B28" s="14"/>
      <c r="C28" s="14"/>
      <c r="D28" s="13"/>
      <c r="E28" s="374" t="s">
        <v>504</v>
      </c>
      <c r="F28" s="374"/>
      <c r="G28" s="374"/>
      <c r="H28" s="374"/>
      <c r="I28" s="374"/>
      <c r="J28" s="374"/>
    </row>
    <row r="29" spans="2:10" ht="36" customHeight="1" x14ac:dyDescent="0.25">
      <c r="B29" s="5" t="s">
        <v>49</v>
      </c>
      <c r="C29" s="5" t="s">
        <v>1</v>
      </c>
      <c r="D29" s="6" t="s">
        <v>48</v>
      </c>
      <c r="E29" s="162" t="s">
        <v>505</v>
      </c>
      <c r="F29" s="377" t="s">
        <v>506</v>
      </c>
      <c r="G29" s="377"/>
      <c r="H29" s="377"/>
      <c r="I29" s="161" t="s">
        <v>505</v>
      </c>
      <c r="J29" s="163" t="s">
        <v>506</v>
      </c>
    </row>
    <row r="30" spans="2:10" ht="31.5" customHeight="1" x14ac:dyDescent="0.25">
      <c r="B30" s="1">
        <v>2</v>
      </c>
      <c r="C30" s="2" t="s">
        <v>3</v>
      </c>
      <c r="D30" s="159" t="s">
        <v>66</v>
      </c>
      <c r="E30" s="160">
        <v>25</v>
      </c>
      <c r="F30" s="385" t="s">
        <v>101</v>
      </c>
      <c r="G30" s="385"/>
      <c r="H30" s="385"/>
      <c r="I30" s="164">
        <v>24</v>
      </c>
      <c r="J30" s="165" t="s">
        <v>100</v>
      </c>
    </row>
    <row r="31" spans="2:10" ht="108.75" customHeight="1" x14ac:dyDescent="0.25">
      <c r="B31" s="397" t="s">
        <v>76</v>
      </c>
      <c r="C31" s="397"/>
      <c r="D31" s="397"/>
      <c r="E31" s="402" t="s">
        <v>835</v>
      </c>
      <c r="F31" s="403"/>
      <c r="G31" s="403"/>
      <c r="H31" s="403"/>
      <c r="I31" s="403"/>
      <c r="J31" s="403"/>
    </row>
    <row r="32" spans="2:10" ht="86.25" customHeight="1" x14ac:dyDescent="0.25">
      <c r="B32" s="398" t="s">
        <v>72</v>
      </c>
      <c r="C32" s="398"/>
      <c r="D32" s="398"/>
      <c r="E32" s="403"/>
      <c r="F32" s="403"/>
      <c r="G32" s="403"/>
      <c r="H32" s="403"/>
      <c r="I32" s="403"/>
      <c r="J32" s="403"/>
    </row>
    <row r="33" spans="2:10" ht="84" customHeight="1" x14ac:dyDescent="0.25">
      <c r="B33" s="398" t="s">
        <v>73</v>
      </c>
      <c r="C33" s="398"/>
      <c r="D33" s="398"/>
      <c r="E33" s="403"/>
      <c r="F33" s="403"/>
      <c r="G33" s="403"/>
      <c r="H33" s="403"/>
      <c r="I33" s="403"/>
      <c r="J33" s="403"/>
    </row>
    <row r="34" spans="2:10" ht="15" customHeight="1" x14ac:dyDescent="0.25">
      <c r="B34" s="14"/>
      <c r="C34" s="27" t="s">
        <v>67</v>
      </c>
      <c r="D34" s="17">
        <v>15</v>
      </c>
      <c r="E34" s="189" t="s">
        <v>51</v>
      </c>
      <c r="F34" s="187" t="s">
        <v>52</v>
      </c>
      <c r="G34" s="188" t="s">
        <v>53</v>
      </c>
    </row>
    <row r="35" spans="2:10" ht="15" customHeight="1" x14ac:dyDescent="0.25">
      <c r="B35" s="14"/>
      <c r="C35" s="27" t="s">
        <v>63</v>
      </c>
      <c r="D35" s="15">
        <v>500</v>
      </c>
      <c r="E35" s="11" t="s">
        <v>54</v>
      </c>
      <c r="F35" s="11" t="s">
        <v>54</v>
      </c>
      <c r="G35" s="11" t="s">
        <v>54</v>
      </c>
    </row>
    <row r="36" spans="2:10" ht="15" customHeight="1" x14ac:dyDescent="0.25">
      <c r="B36" s="14"/>
      <c r="C36" s="27" t="s">
        <v>69</v>
      </c>
      <c r="D36" s="32">
        <v>117.31</v>
      </c>
      <c r="E36" t="str">
        <f>IFERROR(IF(CONTRA=GENERAL!$B$107,ROUND($D$34/365*$D$35,2),""),"")</f>
        <v/>
      </c>
      <c r="F36" t="str">
        <f>IFERROR(IF(CONTRA=GENERAL!$B$107,ROUND($D$34/365*$D$35,2),""),"")</f>
        <v/>
      </c>
      <c r="G36" t="str">
        <f>IFERROR(IF(CONTRA=GENERAL!$B$107,ROUND($D$34/365*$D$35,2),""),"")</f>
        <v/>
      </c>
    </row>
    <row r="37" spans="2:10" ht="15" customHeight="1" x14ac:dyDescent="0.25">
      <c r="B37" s="14"/>
      <c r="C37" s="14" t="s">
        <v>92</v>
      </c>
      <c r="D37" s="396" t="s">
        <v>84</v>
      </c>
      <c r="E37" s="396"/>
    </row>
    <row r="38" spans="2:10" ht="15" customHeight="1" x14ac:dyDescent="0.25">
      <c r="B38" s="14"/>
      <c r="C38" s="14" t="s">
        <v>82</v>
      </c>
      <c r="D38" s="4" t="str">
        <f>IFERROR(IF(CONTRA=GENERAL!$B$107,VLOOKUP(D37,GENERAL!$B$21:$C$22,2,FALSE),""),"")</f>
        <v/>
      </c>
    </row>
    <row r="39" spans="2:10" ht="15" customHeight="1" x14ac:dyDescent="0.25">
      <c r="B39" s="14"/>
      <c r="C39" s="14"/>
    </row>
    <row r="40" spans="2:10" ht="15" customHeight="1" x14ac:dyDescent="0.25">
      <c r="B40" s="14"/>
      <c r="C40" s="14"/>
    </row>
    <row r="41" spans="2:10" ht="15" customHeight="1" x14ac:dyDescent="0.25">
      <c r="B41" s="22" t="s">
        <v>49</v>
      </c>
      <c r="C41" s="22" t="s">
        <v>1</v>
      </c>
      <c r="D41" s="22" t="s">
        <v>64</v>
      </c>
      <c r="E41" s="22" t="s">
        <v>65</v>
      </c>
    </row>
    <row r="42" spans="2:10" ht="15" customHeight="1" x14ac:dyDescent="0.25">
      <c r="B42" s="1">
        <v>4</v>
      </c>
      <c r="C42" s="2" t="s">
        <v>5</v>
      </c>
      <c r="D42" s="21">
        <f>IF((D35*D34)&gt;E42,(D35*D34)-(D36*30),"")</f>
        <v>3980.7</v>
      </c>
      <c r="E42" s="21">
        <f>IFERROR(IF((D35*D34)&gt;=(D36*30),D36*30,D35*D34),0)</f>
        <v>3519.3</v>
      </c>
    </row>
    <row r="43" spans="2:10" ht="15" customHeight="1" x14ac:dyDescent="0.25">
      <c r="B43" s="14"/>
      <c r="C43" s="14"/>
    </row>
    <row r="44" spans="2:10" ht="15" customHeight="1" x14ac:dyDescent="0.25"/>
    <row r="45" spans="2:10" ht="15" customHeight="1" x14ac:dyDescent="0.25">
      <c r="B45" s="14"/>
      <c r="C45" s="14"/>
      <c r="E45" s="374" t="s">
        <v>504</v>
      </c>
      <c r="F45" s="374"/>
      <c r="G45" s="374"/>
      <c r="H45" s="374"/>
      <c r="I45" s="374"/>
      <c r="J45" s="374"/>
    </row>
    <row r="46" spans="2:10" ht="15" customHeight="1" x14ac:dyDescent="0.25">
      <c r="B46" s="5" t="s">
        <v>49</v>
      </c>
      <c r="C46" s="5" t="s">
        <v>1</v>
      </c>
      <c r="D46" s="6" t="s">
        <v>48</v>
      </c>
      <c r="E46" s="162" t="s">
        <v>505</v>
      </c>
      <c r="F46" s="377" t="s">
        <v>506</v>
      </c>
      <c r="G46" s="377"/>
      <c r="H46" s="377"/>
      <c r="I46" s="161" t="s">
        <v>505</v>
      </c>
      <c r="J46" s="163" t="s">
        <v>506</v>
      </c>
    </row>
    <row r="47" spans="2:10" ht="45" customHeight="1" x14ac:dyDescent="0.25">
      <c r="B47" s="1">
        <v>3</v>
      </c>
      <c r="C47" s="2" t="s">
        <v>4</v>
      </c>
      <c r="D47" s="159" t="s">
        <v>66</v>
      </c>
      <c r="E47" s="160">
        <v>27</v>
      </c>
      <c r="F47" s="385" t="s">
        <v>103</v>
      </c>
      <c r="G47" s="385"/>
      <c r="H47" s="385"/>
      <c r="I47" s="164">
        <v>26</v>
      </c>
      <c r="J47" s="165" t="s">
        <v>102</v>
      </c>
    </row>
    <row r="48" spans="2:10" ht="15" customHeight="1" x14ac:dyDescent="0.25">
      <c r="B48" s="14"/>
      <c r="C48" s="14"/>
      <c r="E48" s="8" t="s">
        <v>51</v>
      </c>
      <c r="F48" s="9" t="s">
        <v>52</v>
      </c>
      <c r="G48" s="10" t="s">
        <v>53</v>
      </c>
    </row>
    <row r="49" spans="2:10" ht="15" customHeight="1" x14ac:dyDescent="0.25">
      <c r="B49" s="14"/>
      <c r="C49" s="14"/>
      <c r="E49" s="11" t="s">
        <v>54</v>
      </c>
      <c r="F49" s="11" t="s">
        <v>94</v>
      </c>
      <c r="G49" s="11" t="s">
        <v>94</v>
      </c>
    </row>
    <row r="50" spans="2:10" ht="15" customHeight="1" x14ac:dyDescent="0.25">
      <c r="B50" s="14"/>
      <c r="C50" s="14"/>
      <c r="F50" s="379" t="s">
        <v>93</v>
      </c>
      <c r="G50" s="380"/>
    </row>
    <row r="51" spans="2:10" ht="15" customHeight="1" x14ac:dyDescent="0.25">
      <c r="B51" s="14"/>
      <c r="C51" s="14"/>
    </row>
    <row r="52" spans="2:10" ht="44.25" customHeight="1" x14ac:dyDescent="0.25">
      <c r="B52" s="390" t="s">
        <v>833</v>
      </c>
      <c r="C52" s="391"/>
      <c r="D52" s="391"/>
      <c r="E52" s="391"/>
      <c r="F52" s="391"/>
      <c r="G52" s="392"/>
    </row>
    <row r="53" spans="2:10" ht="128.25" customHeight="1" x14ac:dyDescent="0.25">
      <c r="B53" s="393" t="s">
        <v>834</v>
      </c>
      <c r="C53" s="394"/>
      <c r="D53" s="394"/>
      <c r="E53" s="394"/>
      <c r="F53" s="394"/>
      <c r="G53" s="395"/>
    </row>
    <row r="54" spans="2:10" ht="15" customHeight="1" x14ac:dyDescent="0.25">
      <c r="B54" s="14"/>
      <c r="C54" s="14"/>
    </row>
    <row r="55" spans="2:10" ht="15" customHeight="1" x14ac:dyDescent="0.25">
      <c r="B55" s="5" t="s">
        <v>49</v>
      </c>
      <c r="C55" s="5" t="s">
        <v>1</v>
      </c>
      <c r="D55" s="6" t="s">
        <v>48</v>
      </c>
      <c r="E55" s="162" t="s">
        <v>505</v>
      </c>
      <c r="F55" s="377" t="s">
        <v>506</v>
      </c>
      <c r="G55" s="377"/>
      <c r="H55" s="377"/>
      <c r="I55" s="161" t="s">
        <v>505</v>
      </c>
      <c r="J55" s="163" t="s">
        <v>506</v>
      </c>
    </row>
    <row r="56" spans="2:10" ht="46.5" customHeight="1" x14ac:dyDescent="0.25">
      <c r="B56" s="1">
        <v>4</v>
      </c>
      <c r="C56" s="2" t="s">
        <v>5</v>
      </c>
      <c r="D56" s="159" t="s">
        <v>66</v>
      </c>
      <c r="E56" s="20"/>
      <c r="F56" s="387"/>
      <c r="G56" s="387"/>
      <c r="H56" s="387"/>
      <c r="I56" s="177">
        <v>28</v>
      </c>
      <c r="J56" s="184" t="s">
        <v>104</v>
      </c>
    </row>
    <row r="57" spans="2:10" ht="15" customHeight="1" x14ac:dyDescent="0.25">
      <c r="B57" s="14"/>
      <c r="C57" s="14"/>
      <c r="E57" s="8" t="s">
        <v>51</v>
      </c>
      <c r="F57" s="9" t="s">
        <v>52</v>
      </c>
      <c r="G57" s="10" t="s">
        <v>53</v>
      </c>
    </row>
    <row r="58" spans="2:10" ht="15" customHeight="1" x14ac:dyDescent="0.25">
      <c r="B58" s="14"/>
      <c r="C58" s="14"/>
      <c r="E58" s="11" t="s">
        <v>54</v>
      </c>
      <c r="F58" s="11" t="s">
        <v>94</v>
      </c>
      <c r="G58" s="11" t="s">
        <v>94</v>
      </c>
    </row>
    <row r="59" spans="2:10" ht="15" customHeight="1" x14ac:dyDescent="0.25">
      <c r="B59" s="14"/>
      <c r="C59" s="14"/>
      <c r="E59" s="107"/>
      <c r="F59" s="382" t="s">
        <v>601</v>
      </c>
      <c r="G59" s="382"/>
    </row>
    <row r="60" spans="2:10" ht="15" customHeight="1" x14ac:dyDescent="0.25">
      <c r="B60" s="14"/>
      <c r="C60" s="14"/>
    </row>
    <row r="61" spans="2:10" ht="66.75" customHeight="1" x14ac:dyDescent="0.25">
      <c r="B61" s="359" t="s">
        <v>588</v>
      </c>
      <c r="C61" s="359"/>
      <c r="D61" s="359"/>
      <c r="E61" s="359"/>
      <c r="F61" s="359"/>
      <c r="G61" s="359"/>
    </row>
    <row r="62" spans="2:10" ht="54" customHeight="1" x14ac:dyDescent="0.25">
      <c r="B62" s="388" t="s">
        <v>600</v>
      </c>
      <c r="C62" s="388"/>
      <c r="D62" s="388"/>
      <c r="E62" s="388"/>
      <c r="F62" s="388"/>
      <c r="G62" s="388"/>
    </row>
    <row r="63" spans="2:10" ht="15" customHeight="1" x14ac:dyDescent="0.25">
      <c r="B63" s="14"/>
      <c r="C63" s="14"/>
    </row>
    <row r="64" spans="2:10" ht="15" customHeight="1" x14ac:dyDescent="0.25">
      <c r="B64" s="14"/>
      <c r="C64" s="186" t="s">
        <v>589</v>
      </c>
      <c r="D64" s="186" t="s">
        <v>590</v>
      </c>
      <c r="E64" s="186" t="s">
        <v>591</v>
      </c>
      <c r="F64" s="186" t="s">
        <v>592</v>
      </c>
    </row>
    <row r="65" spans="2:10" ht="15" customHeight="1" x14ac:dyDescent="0.25">
      <c r="B65" s="14"/>
      <c r="C65" s="36" t="s">
        <v>598</v>
      </c>
      <c r="D65" s="36" t="s">
        <v>593</v>
      </c>
      <c r="E65" s="36" t="s">
        <v>594</v>
      </c>
      <c r="F65" s="185">
        <v>16000</v>
      </c>
    </row>
    <row r="66" spans="2:10" ht="15" customHeight="1" x14ac:dyDescent="0.25">
      <c r="B66" s="14"/>
      <c r="C66" s="36" t="s">
        <v>599</v>
      </c>
      <c r="D66" s="36" t="s">
        <v>595</v>
      </c>
      <c r="E66" s="36" t="s">
        <v>596</v>
      </c>
      <c r="F66" s="185">
        <v>2450</v>
      </c>
    </row>
    <row r="67" spans="2:10" ht="15" customHeight="1" x14ac:dyDescent="0.25">
      <c r="B67" s="14"/>
      <c r="E67" s="40" t="s">
        <v>597</v>
      </c>
      <c r="F67" s="13">
        <v>18450</v>
      </c>
    </row>
    <row r="68" spans="2:10" ht="15" customHeight="1" x14ac:dyDescent="0.25">
      <c r="B68" s="14"/>
      <c r="C68" s="14"/>
    </row>
    <row r="69" spans="2:10" ht="15" customHeight="1" x14ac:dyDescent="0.25">
      <c r="B69" s="22" t="s">
        <v>49</v>
      </c>
      <c r="C69" s="22" t="s">
        <v>1</v>
      </c>
      <c r="D69" s="22" t="s">
        <v>64</v>
      </c>
      <c r="E69" s="22" t="s">
        <v>65</v>
      </c>
    </row>
    <row r="70" spans="2:10" ht="15" customHeight="1" x14ac:dyDescent="0.25">
      <c r="B70" s="1">
        <v>4</v>
      </c>
      <c r="C70" s="2" t="s">
        <v>5</v>
      </c>
      <c r="D70" s="21"/>
      <c r="E70" s="21">
        <f>F67</f>
        <v>18450</v>
      </c>
    </row>
    <row r="71" spans="2:10" ht="15" customHeight="1" x14ac:dyDescent="0.25">
      <c r="B71" s="14"/>
      <c r="C71" s="14"/>
    </row>
    <row r="72" spans="2:10" ht="15" customHeight="1" x14ac:dyDescent="0.25">
      <c r="B72" s="14"/>
      <c r="C72" s="14"/>
    </row>
    <row r="73" spans="2:10" ht="15" customHeight="1" x14ac:dyDescent="0.25">
      <c r="B73" s="14"/>
      <c r="C73" s="14"/>
      <c r="E73" s="374" t="s">
        <v>504</v>
      </c>
      <c r="F73" s="374"/>
      <c r="G73" s="374"/>
      <c r="H73" s="374"/>
      <c r="I73" s="374"/>
      <c r="J73" s="374"/>
    </row>
    <row r="74" spans="2:10" ht="15" customHeight="1" x14ac:dyDescent="0.25">
      <c r="B74" s="5" t="s">
        <v>49</v>
      </c>
      <c r="C74" s="5" t="s">
        <v>1</v>
      </c>
      <c r="D74" s="6" t="s">
        <v>48</v>
      </c>
      <c r="E74" s="162" t="s">
        <v>505</v>
      </c>
      <c r="F74" s="377" t="s">
        <v>506</v>
      </c>
      <c r="G74" s="377"/>
      <c r="H74" s="377"/>
      <c r="I74" s="161" t="s">
        <v>505</v>
      </c>
      <c r="J74" s="163" t="s">
        <v>506</v>
      </c>
    </row>
    <row r="75" spans="2:10" ht="26.25" customHeight="1" x14ac:dyDescent="0.25">
      <c r="B75" s="1">
        <v>5</v>
      </c>
      <c r="C75" s="2" t="s">
        <v>6</v>
      </c>
      <c r="D75" s="159" t="s">
        <v>50</v>
      </c>
      <c r="E75" s="177" t="s">
        <v>245</v>
      </c>
      <c r="F75" s="378" t="s">
        <v>106</v>
      </c>
      <c r="G75" s="378"/>
      <c r="H75" s="378"/>
      <c r="I75" s="177">
        <v>29</v>
      </c>
      <c r="J75" s="184" t="s">
        <v>105</v>
      </c>
    </row>
    <row r="76" spans="2:10" ht="26.25" customHeight="1" x14ac:dyDescent="0.25">
      <c r="B76" s="1">
        <v>6</v>
      </c>
      <c r="C76" s="2" t="s">
        <v>7</v>
      </c>
      <c r="D76" s="159" t="s">
        <v>50</v>
      </c>
      <c r="E76" s="177" t="s">
        <v>602</v>
      </c>
      <c r="F76" s="378" t="s">
        <v>108</v>
      </c>
      <c r="G76" s="378"/>
      <c r="H76" s="378"/>
      <c r="I76" s="177">
        <v>30</v>
      </c>
      <c r="J76" s="184" t="s">
        <v>107</v>
      </c>
    </row>
    <row r="77" spans="2:10" ht="15" customHeight="1" x14ac:dyDescent="0.25">
      <c r="B77" s="14"/>
      <c r="C77" s="14"/>
      <c r="E77" s="8" t="s">
        <v>51</v>
      </c>
      <c r="F77" s="187" t="s">
        <v>52</v>
      </c>
      <c r="G77" s="188" t="s">
        <v>53</v>
      </c>
    </row>
    <row r="78" spans="2:10" ht="15" customHeight="1" x14ac:dyDescent="0.25">
      <c r="B78" s="14"/>
      <c r="C78" s="14"/>
      <c r="E78" s="11" t="s">
        <v>54</v>
      </c>
      <c r="F78" s="11" t="s">
        <v>94</v>
      </c>
      <c r="G78" s="11" t="s">
        <v>94</v>
      </c>
    </row>
    <row r="79" spans="2:10" ht="15" customHeight="1" x14ac:dyDescent="0.25">
      <c r="B79" s="14"/>
      <c r="C79" s="14"/>
      <c r="E79" s="107"/>
      <c r="F79" s="379" t="s">
        <v>93</v>
      </c>
      <c r="G79" s="380"/>
    </row>
    <row r="80" spans="2:10" ht="15" customHeight="1" x14ac:dyDescent="0.25">
      <c r="B80" s="14"/>
      <c r="C80" s="14"/>
    </row>
    <row r="81" spans="2:10" ht="75" customHeight="1" x14ac:dyDescent="0.25">
      <c r="B81" s="359" t="s">
        <v>604</v>
      </c>
      <c r="C81" s="359"/>
      <c r="D81" s="359"/>
      <c r="E81" s="359"/>
      <c r="F81" s="359"/>
      <c r="G81" s="359"/>
    </row>
    <row r="82" spans="2:10" ht="111" customHeight="1" x14ac:dyDescent="0.25">
      <c r="B82" s="375" t="s">
        <v>603</v>
      </c>
      <c r="C82" s="376"/>
      <c r="D82" s="376"/>
      <c r="E82" s="376"/>
      <c r="F82" s="376"/>
      <c r="G82" s="376"/>
    </row>
    <row r="83" spans="2:10" ht="15" customHeight="1" x14ac:dyDescent="0.25">
      <c r="B83" s="14"/>
      <c r="C83" s="14"/>
    </row>
    <row r="84" spans="2:10" ht="15" customHeight="1" x14ac:dyDescent="0.25">
      <c r="B84" s="14"/>
      <c r="C84" s="190" t="s">
        <v>605</v>
      </c>
      <c r="D84" s="15">
        <v>500</v>
      </c>
    </row>
    <row r="85" spans="2:10" ht="15" customHeight="1" x14ac:dyDescent="0.25">
      <c r="B85" s="14"/>
      <c r="C85" s="190" t="s">
        <v>607</v>
      </c>
      <c r="D85" s="17">
        <v>7</v>
      </c>
    </row>
    <row r="86" spans="2:10" ht="15" customHeight="1" x14ac:dyDescent="0.25">
      <c r="B86" s="14"/>
      <c r="C86" s="190" t="s">
        <v>606</v>
      </c>
      <c r="D86" s="66">
        <v>0.13</v>
      </c>
    </row>
    <row r="87" spans="2:10" ht="15" customHeight="1" x14ac:dyDescent="0.25">
      <c r="B87" s="14"/>
      <c r="C87" s="14"/>
    </row>
    <row r="88" spans="2:10" ht="15" customHeight="1" x14ac:dyDescent="0.25">
      <c r="B88" s="22" t="s">
        <v>49</v>
      </c>
      <c r="C88" s="22" t="s">
        <v>1</v>
      </c>
      <c r="D88" s="22" t="s">
        <v>64</v>
      </c>
      <c r="E88" s="22" t="s">
        <v>65</v>
      </c>
    </row>
    <row r="89" spans="2:10" ht="15" customHeight="1" x14ac:dyDescent="0.25">
      <c r="B89" s="1">
        <v>5</v>
      </c>
      <c r="C89" s="2" t="s">
        <v>6</v>
      </c>
      <c r="D89" s="21"/>
      <c r="E89" s="21">
        <f>IFERROR(IF(D86&lt;=0.13,ROUND(D84*D86*D85,2),""),"")</f>
        <v>455</v>
      </c>
      <c r="F89" s="58" t="str">
        <f>IF(D86&gt;0.13,"Realizar el cálculo del artículo 93 penúltimo párrafo LISR","")</f>
        <v/>
      </c>
    </row>
    <row r="90" spans="2:10" ht="15" customHeight="1" x14ac:dyDescent="0.25"/>
    <row r="91" spans="2:10" ht="15" customHeight="1" x14ac:dyDescent="0.25">
      <c r="B91" s="40" t="s">
        <v>611</v>
      </c>
    </row>
    <row r="92" spans="2:10" ht="139.5" customHeight="1" x14ac:dyDescent="0.25">
      <c r="B92" s="383" t="s">
        <v>610</v>
      </c>
      <c r="C92" s="384"/>
      <c r="D92" s="384"/>
      <c r="E92" s="384"/>
      <c r="F92" s="384"/>
      <c r="G92" s="384"/>
    </row>
    <row r="93" spans="2:10" ht="15" customHeight="1" x14ac:dyDescent="0.25"/>
    <row r="94" spans="2:10" ht="15" customHeight="1" x14ac:dyDescent="0.25">
      <c r="E94" s="374" t="s">
        <v>504</v>
      </c>
      <c r="F94" s="374"/>
      <c r="G94" s="374"/>
      <c r="H94" s="374"/>
      <c r="I94" s="374"/>
      <c r="J94" s="374"/>
    </row>
    <row r="95" spans="2:10" ht="15" customHeight="1" x14ac:dyDescent="0.25">
      <c r="B95" s="5" t="s">
        <v>49</v>
      </c>
      <c r="C95" s="5" t="s">
        <v>1</v>
      </c>
      <c r="D95" s="6" t="s">
        <v>48</v>
      </c>
      <c r="E95" s="162" t="s">
        <v>505</v>
      </c>
      <c r="F95" s="377" t="s">
        <v>506</v>
      </c>
      <c r="G95" s="377"/>
      <c r="H95" s="377"/>
      <c r="I95" s="161" t="s">
        <v>505</v>
      </c>
      <c r="J95" s="163" t="s">
        <v>506</v>
      </c>
    </row>
    <row r="96" spans="2:10" ht="47.25" customHeight="1" x14ac:dyDescent="0.25">
      <c r="B96" s="1">
        <v>9</v>
      </c>
      <c r="C96" s="34" t="s">
        <v>8</v>
      </c>
      <c r="D96" s="159" t="s">
        <v>50</v>
      </c>
      <c r="E96" s="191"/>
      <c r="F96" s="386"/>
      <c r="G96" s="386"/>
      <c r="H96" s="386"/>
      <c r="I96" s="177">
        <v>31</v>
      </c>
      <c r="J96" s="184" t="s">
        <v>162</v>
      </c>
    </row>
    <row r="97" spans="2:10" ht="15" customHeight="1" x14ac:dyDescent="0.25"/>
    <row r="98" spans="2:10" ht="158.25" customHeight="1" x14ac:dyDescent="0.25">
      <c r="B98" s="359" t="s">
        <v>150</v>
      </c>
      <c r="C98" s="359"/>
      <c r="D98" s="359"/>
      <c r="E98" s="359"/>
      <c r="F98" s="359"/>
      <c r="G98" s="359"/>
    </row>
    <row r="99" spans="2:10" ht="15" customHeight="1" x14ac:dyDescent="0.25"/>
    <row r="100" spans="2:10" ht="15" customHeight="1" x14ac:dyDescent="0.25">
      <c r="B100" s="22" t="s">
        <v>49</v>
      </c>
      <c r="C100" s="22" t="s">
        <v>1</v>
      </c>
      <c r="D100" s="22" t="s">
        <v>64</v>
      </c>
      <c r="E100" s="22" t="s">
        <v>65</v>
      </c>
    </row>
    <row r="101" spans="2:10" ht="15" customHeight="1" x14ac:dyDescent="0.25">
      <c r="B101" s="1">
        <v>9</v>
      </c>
      <c r="C101" s="34" t="s">
        <v>8</v>
      </c>
      <c r="D101" s="21"/>
      <c r="E101" s="192" t="str">
        <f>IFERROR(IF(D98&lt;=0.13,ROUND(D96*D98*D97,2),""),"")</f>
        <v/>
      </c>
    </row>
    <row r="102" spans="2:10" ht="15" customHeight="1" x14ac:dyDescent="0.25"/>
    <row r="103" spans="2:10" ht="15" customHeight="1" x14ac:dyDescent="0.25"/>
    <row r="104" spans="2:10" ht="15" customHeight="1" x14ac:dyDescent="0.25">
      <c r="B104" s="14"/>
      <c r="C104" s="14"/>
      <c r="E104" s="374" t="s">
        <v>504</v>
      </c>
      <c r="F104" s="374"/>
      <c r="G104" s="374"/>
      <c r="H104" s="374"/>
      <c r="I104" s="374"/>
      <c r="J104" s="374"/>
    </row>
    <row r="105" spans="2:10" ht="15" customHeight="1" x14ac:dyDescent="0.25">
      <c r="B105" s="5" t="s">
        <v>49</v>
      </c>
      <c r="C105" s="5" t="s">
        <v>1</v>
      </c>
      <c r="D105" s="6" t="s">
        <v>48</v>
      </c>
      <c r="E105" s="162" t="s">
        <v>505</v>
      </c>
      <c r="F105" s="377" t="s">
        <v>506</v>
      </c>
      <c r="G105" s="377"/>
      <c r="H105" s="377"/>
      <c r="I105" s="161" t="s">
        <v>505</v>
      </c>
      <c r="J105" s="163" t="s">
        <v>506</v>
      </c>
    </row>
    <row r="106" spans="2:10" ht="15" customHeight="1" x14ac:dyDescent="0.25">
      <c r="B106" s="1">
        <v>10</v>
      </c>
      <c r="C106" s="2" t="s">
        <v>9</v>
      </c>
      <c r="D106" s="159" t="s">
        <v>50</v>
      </c>
      <c r="E106" s="177" t="s">
        <v>245</v>
      </c>
      <c r="F106" s="378" t="s">
        <v>106</v>
      </c>
      <c r="G106" s="378"/>
      <c r="H106" s="378"/>
      <c r="I106" s="177">
        <v>29</v>
      </c>
      <c r="J106" s="184" t="s">
        <v>105</v>
      </c>
    </row>
    <row r="107" spans="2:10" ht="15" customHeight="1" x14ac:dyDescent="0.25">
      <c r="B107" s="1">
        <v>49</v>
      </c>
      <c r="C107" s="3" t="s">
        <v>43</v>
      </c>
      <c r="D107" s="159" t="s">
        <v>50</v>
      </c>
      <c r="E107" s="177" t="s">
        <v>602</v>
      </c>
      <c r="F107" s="378" t="s">
        <v>108</v>
      </c>
      <c r="G107" s="378"/>
      <c r="H107" s="378"/>
      <c r="I107" s="177">
        <v>30</v>
      </c>
      <c r="J107" s="184" t="s">
        <v>107</v>
      </c>
    </row>
    <row r="108" spans="2:10" ht="15" customHeight="1" x14ac:dyDescent="0.25">
      <c r="B108" s="14"/>
      <c r="C108" s="14"/>
      <c r="E108" s="8" t="s">
        <v>51</v>
      </c>
      <c r="F108" s="187" t="s">
        <v>52</v>
      </c>
      <c r="G108" s="188" t="s">
        <v>53</v>
      </c>
    </row>
    <row r="109" spans="2:10" ht="15" customHeight="1" x14ac:dyDescent="0.25">
      <c r="B109" s="14"/>
      <c r="C109" s="14"/>
      <c r="E109" s="11" t="s">
        <v>54</v>
      </c>
      <c r="F109" s="11" t="s">
        <v>94</v>
      </c>
      <c r="G109" s="11" t="s">
        <v>94</v>
      </c>
    </row>
    <row r="110" spans="2:10" ht="15" customHeight="1" x14ac:dyDescent="0.25">
      <c r="B110" s="14"/>
      <c r="C110" s="14"/>
      <c r="E110" s="107"/>
      <c r="F110" s="379" t="s">
        <v>93</v>
      </c>
      <c r="G110" s="380"/>
    </row>
    <row r="111" spans="2:10" ht="15" customHeight="1" x14ac:dyDescent="0.25">
      <c r="B111" s="14"/>
      <c r="C111" s="14"/>
    </row>
    <row r="112" spans="2:10" ht="258.75" customHeight="1" x14ac:dyDescent="0.25">
      <c r="B112" s="381" t="s">
        <v>608</v>
      </c>
      <c r="C112" s="359"/>
      <c r="D112" s="359"/>
      <c r="E112" s="359"/>
      <c r="F112" s="359"/>
      <c r="G112" s="359"/>
    </row>
    <row r="113" spans="2:10" ht="93" customHeight="1" x14ac:dyDescent="0.25">
      <c r="B113" s="375" t="s">
        <v>609</v>
      </c>
      <c r="C113" s="376"/>
      <c r="D113" s="376"/>
      <c r="E113" s="376"/>
      <c r="F113" s="376"/>
      <c r="G113" s="376"/>
    </row>
    <row r="114" spans="2:10" ht="15" customHeight="1" x14ac:dyDescent="0.25">
      <c r="B114" s="14"/>
      <c r="C114" s="14"/>
    </row>
    <row r="115" spans="2:10" ht="15" customHeight="1" x14ac:dyDescent="0.25">
      <c r="B115" s="22" t="s">
        <v>49</v>
      </c>
      <c r="C115" s="22" t="s">
        <v>1</v>
      </c>
      <c r="D115" s="22" t="s">
        <v>64</v>
      </c>
      <c r="E115" s="22" t="s">
        <v>65</v>
      </c>
    </row>
    <row r="116" spans="2:10" ht="15" customHeight="1" x14ac:dyDescent="0.25">
      <c r="B116" s="1">
        <v>10</v>
      </c>
      <c r="C116" s="2" t="s">
        <v>9</v>
      </c>
      <c r="D116" s="21"/>
      <c r="E116" s="192"/>
    </row>
    <row r="117" spans="2:10" ht="15" customHeight="1" x14ac:dyDescent="0.25">
      <c r="B117" s="1">
        <v>49</v>
      </c>
      <c r="C117" s="3" t="s">
        <v>43</v>
      </c>
      <c r="D117" s="21"/>
      <c r="E117" s="192"/>
    </row>
    <row r="118" spans="2:10" ht="15" customHeight="1" x14ac:dyDescent="0.25">
      <c r="B118" s="14"/>
      <c r="C118" s="14"/>
    </row>
    <row r="119" spans="2:10" ht="15" customHeight="1" x14ac:dyDescent="0.25">
      <c r="B119" s="14"/>
      <c r="C119" s="14"/>
      <c r="E119" s="374" t="s">
        <v>504</v>
      </c>
      <c r="F119" s="374"/>
      <c r="G119" s="374"/>
      <c r="H119" s="374"/>
      <c r="I119" s="374"/>
      <c r="J119" s="374"/>
    </row>
    <row r="120" spans="2:10" ht="15" customHeight="1" x14ac:dyDescent="0.25">
      <c r="B120" s="5" t="s">
        <v>49</v>
      </c>
      <c r="C120" s="5" t="s">
        <v>1</v>
      </c>
      <c r="D120" s="6" t="s">
        <v>48</v>
      </c>
      <c r="E120" s="162" t="s">
        <v>505</v>
      </c>
      <c r="F120" s="377" t="s">
        <v>506</v>
      </c>
      <c r="G120" s="377"/>
      <c r="H120" s="377"/>
      <c r="I120" s="161" t="s">
        <v>505</v>
      </c>
      <c r="J120" s="163" t="s">
        <v>506</v>
      </c>
    </row>
    <row r="121" spans="2:10" ht="26.25" customHeight="1" x14ac:dyDescent="0.25">
      <c r="B121" s="1">
        <v>11</v>
      </c>
      <c r="C121" s="2" t="s">
        <v>10</v>
      </c>
      <c r="D121" s="159" t="s">
        <v>50</v>
      </c>
      <c r="E121" s="172">
        <v>84</v>
      </c>
      <c r="F121" s="378" t="s">
        <v>110</v>
      </c>
      <c r="G121" s="378"/>
      <c r="H121" s="378"/>
      <c r="I121" s="172">
        <v>33</v>
      </c>
      <c r="J121" s="173" t="s">
        <v>109</v>
      </c>
    </row>
    <row r="122" spans="2:10" ht="15" customHeight="1" x14ac:dyDescent="0.25">
      <c r="B122" s="14"/>
      <c r="C122" s="14"/>
      <c r="E122" s="8" t="s">
        <v>51</v>
      </c>
      <c r="F122" s="187" t="s">
        <v>52</v>
      </c>
      <c r="G122" s="188" t="s">
        <v>53</v>
      </c>
    </row>
    <row r="123" spans="2:10" ht="15" customHeight="1" x14ac:dyDescent="0.25">
      <c r="B123" s="14"/>
      <c r="C123" s="14"/>
      <c r="E123" s="11" t="s">
        <v>54</v>
      </c>
      <c r="F123" s="11" t="s">
        <v>94</v>
      </c>
      <c r="G123" s="11" t="s">
        <v>94</v>
      </c>
    </row>
    <row r="124" spans="2:10" ht="15" customHeight="1" x14ac:dyDescent="0.25">
      <c r="B124" s="14"/>
      <c r="C124" s="14"/>
      <c r="E124" s="107"/>
      <c r="F124" s="382" t="s">
        <v>601</v>
      </c>
      <c r="G124" s="382"/>
    </row>
    <row r="125" spans="2:10" ht="15" customHeight="1" x14ac:dyDescent="0.25">
      <c r="B125" s="14"/>
      <c r="C125" s="14"/>
    </row>
    <row r="126" spans="2:10" ht="117.75" customHeight="1" x14ac:dyDescent="0.25">
      <c r="B126" s="381" t="s">
        <v>612</v>
      </c>
      <c r="C126" s="364"/>
      <c r="D126" s="364"/>
      <c r="E126" s="364"/>
      <c r="F126" s="364"/>
      <c r="G126" s="364"/>
    </row>
    <row r="127" spans="2:10" ht="15" customHeight="1" x14ac:dyDescent="0.25">
      <c r="B127" s="404" t="s">
        <v>613</v>
      </c>
      <c r="C127" s="404"/>
      <c r="D127" s="404"/>
      <c r="E127" s="404"/>
      <c r="F127" s="404"/>
      <c r="G127" s="404"/>
    </row>
    <row r="128" spans="2:10" ht="186.75" customHeight="1" x14ac:dyDescent="0.25">
      <c r="B128" s="405" t="e" vm="2">
        <v>#VALUE!</v>
      </c>
      <c r="C128" s="405"/>
      <c r="D128" s="405"/>
      <c r="E128" s="405"/>
      <c r="F128" s="405"/>
      <c r="G128" s="405"/>
    </row>
    <row r="129" spans="2:10" ht="15" customHeight="1" x14ac:dyDescent="0.25">
      <c r="B129" s="194"/>
      <c r="C129" s="194"/>
      <c r="D129" s="194"/>
      <c r="E129" s="194"/>
      <c r="F129" s="194"/>
      <c r="G129" s="194"/>
    </row>
    <row r="130" spans="2:10" ht="15" customHeight="1" x14ac:dyDescent="0.25">
      <c r="B130" s="40" t="s">
        <v>611</v>
      </c>
      <c r="C130" s="14"/>
    </row>
    <row r="131" spans="2:10" ht="133.5" customHeight="1" x14ac:dyDescent="0.25">
      <c r="B131" s="383" t="s">
        <v>614</v>
      </c>
      <c r="C131" s="384"/>
      <c r="D131" s="384"/>
      <c r="E131" s="384"/>
      <c r="F131" s="384"/>
      <c r="G131" s="384"/>
    </row>
    <row r="132" spans="2:10" ht="15" customHeight="1" x14ac:dyDescent="0.25">
      <c r="B132" s="14"/>
      <c r="C132" s="14"/>
    </row>
    <row r="133" spans="2:10" ht="15" customHeight="1" x14ac:dyDescent="0.25">
      <c r="B133" s="22" t="s">
        <v>49</v>
      </c>
      <c r="C133" s="22" t="s">
        <v>1</v>
      </c>
      <c r="D133" s="22" t="s">
        <v>64</v>
      </c>
      <c r="E133" s="22" t="s">
        <v>65</v>
      </c>
    </row>
    <row r="134" spans="2:10" ht="15" customHeight="1" x14ac:dyDescent="0.25">
      <c r="B134" s="1">
        <v>11</v>
      </c>
      <c r="C134" s="2" t="s">
        <v>10</v>
      </c>
      <c r="D134" s="21"/>
      <c r="E134" s="21"/>
    </row>
    <row r="135" spans="2:10" ht="15" customHeight="1" x14ac:dyDescent="0.25">
      <c r="B135" s="14"/>
      <c r="C135" s="14"/>
    </row>
    <row r="136" spans="2:10" ht="15" customHeight="1" x14ac:dyDescent="0.25">
      <c r="B136" s="14"/>
      <c r="C136" s="14"/>
      <c r="E136" s="374" t="s">
        <v>504</v>
      </c>
      <c r="F136" s="374"/>
      <c r="G136" s="374"/>
      <c r="H136" s="374"/>
      <c r="I136" s="374"/>
      <c r="J136" s="374"/>
    </row>
    <row r="137" spans="2:10" ht="15" customHeight="1" x14ac:dyDescent="0.25">
      <c r="B137" s="5" t="s">
        <v>49</v>
      </c>
      <c r="C137" s="5" t="s">
        <v>1</v>
      </c>
      <c r="D137" s="6" t="s">
        <v>48</v>
      </c>
      <c r="E137" s="162" t="s">
        <v>505</v>
      </c>
      <c r="F137" s="377" t="s">
        <v>506</v>
      </c>
      <c r="G137" s="377"/>
      <c r="H137" s="377"/>
      <c r="I137" s="161" t="s">
        <v>505</v>
      </c>
      <c r="J137" s="163" t="s">
        <v>506</v>
      </c>
    </row>
    <row r="138" spans="2:10" ht="24.75" customHeight="1" x14ac:dyDescent="0.25">
      <c r="B138" s="1">
        <v>12</v>
      </c>
      <c r="C138" s="2" t="s">
        <v>11</v>
      </c>
      <c r="D138" s="159" t="s">
        <v>50</v>
      </c>
      <c r="E138" s="172">
        <v>85</v>
      </c>
      <c r="F138" s="378" t="s">
        <v>112</v>
      </c>
      <c r="G138" s="378"/>
      <c r="H138" s="378"/>
      <c r="I138" s="172">
        <v>34</v>
      </c>
      <c r="J138" s="173" t="s">
        <v>111</v>
      </c>
    </row>
    <row r="139" spans="2:10" ht="15" customHeight="1" x14ac:dyDescent="0.25">
      <c r="B139" s="14"/>
      <c r="C139" s="14"/>
      <c r="E139" s="8" t="s">
        <v>51</v>
      </c>
      <c r="F139" s="187" t="s">
        <v>52</v>
      </c>
      <c r="G139" s="188" t="s">
        <v>53</v>
      </c>
    </row>
    <row r="140" spans="2:10" ht="15" customHeight="1" x14ac:dyDescent="0.25">
      <c r="B140" s="14"/>
      <c r="C140" s="14"/>
      <c r="E140" s="11" t="s">
        <v>54</v>
      </c>
      <c r="F140" s="11" t="s">
        <v>94</v>
      </c>
      <c r="G140" s="11" t="s">
        <v>94</v>
      </c>
    </row>
    <row r="141" spans="2:10" ht="15" customHeight="1" x14ac:dyDescent="0.25">
      <c r="B141" s="14"/>
      <c r="C141" s="14"/>
      <c r="E141" s="107"/>
      <c r="F141" s="382" t="s">
        <v>601</v>
      </c>
      <c r="G141" s="382"/>
    </row>
    <row r="142" spans="2:10" ht="15" customHeight="1" x14ac:dyDescent="0.25">
      <c r="B142" s="14"/>
      <c r="C142" s="14"/>
    </row>
    <row r="143" spans="2:10" ht="15" customHeight="1" x14ac:dyDescent="0.25">
      <c r="B143" s="14"/>
      <c r="C143" s="14"/>
    </row>
    <row r="144" spans="2:10" ht="67.5" customHeight="1" x14ac:dyDescent="0.25">
      <c r="B144" s="383" t="s">
        <v>615</v>
      </c>
      <c r="C144" s="384"/>
      <c r="D144" s="384"/>
      <c r="E144" s="384"/>
      <c r="F144" s="384"/>
      <c r="G144" s="384"/>
    </row>
    <row r="145" spans="2:10" ht="15" customHeight="1" x14ac:dyDescent="0.25">
      <c r="B145" s="14"/>
      <c r="C145" s="14"/>
    </row>
    <row r="146" spans="2:10" ht="15" customHeight="1" x14ac:dyDescent="0.25">
      <c r="B146" s="22" t="s">
        <v>49</v>
      </c>
      <c r="C146" s="22" t="s">
        <v>1</v>
      </c>
      <c r="D146" s="22" t="s">
        <v>64</v>
      </c>
      <c r="E146" s="22" t="s">
        <v>65</v>
      </c>
    </row>
    <row r="147" spans="2:10" ht="15" customHeight="1" x14ac:dyDescent="0.25">
      <c r="B147" s="1">
        <v>12</v>
      </c>
      <c r="C147" s="2" t="s">
        <v>11</v>
      </c>
      <c r="D147" s="21"/>
      <c r="E147" s="21"/>
    </row>
    <row r="148" spans="2:10" ht="15" customHeight="1" x14ac:dyDescent="0.25">
      <c r="B148" s="14"/>
      <c r="C148" s="14"/>
    </row>
    <row r="149" spans="2:10" ht="15" customHeight="1" x14ac:dyDescent="0.25">
      <c r="B149" s="14"/>
      <c r="C149" s="14"/>
    </row>
    <row r="150" spans="2:10" ht="15" customHeight="1" x14ac:dyDescent="0.25">
      <c r="B150" s="14"/>
      <c r="C150" s="14"/>
      <c r="E150" s="374" t="s">
        <v>504</v>
      </c>
      <c r="F150" s="374"/>
      <c r="G150" s="374"/>
      <c r="H150" s="374"/>
      <c r="I150" s="374"/>
      <c r="J150" s="374"/>
    </row>
    <row r="151" spans="2:10" ht="15" customHeight="1" x14ac:dyDescent="0.25">
      <c r="B151" s="5" t="s">
        <v>49</v>
      </c>
      <c r="C151" s="5" t="s">
        <v>1</v>
      </c>
      <c r="D151" s="6" t="s">
        <v>48</v>
      </c>
      <c r="E151" s="162" t="s">
        <v>505</v>
      </c>
      <c r="F151" s="377" t="s">
        <v>506</v>
      </c>
      <c r="G151" s="377"/>
      <c r="H151" s="377"/>
      <c r="I151" s="161" t="s">
        <v>505</v>
      </c>
      <c r="J151" s="163" t="s">
        <v>506</v>
      </c>
    </row>
    <row r="152" spans="2:10" ht="36" customHeight="1" x14ac:dyDescent="0.25">
      <c r="B152" s="1">
        <v>13</v>
      </c>
      <c r="C152" s="2" t="s">
        <v>12</v>
      </c>
      <c r="D152" s="159" t="s">
        <v>50</v>
      </c>
      <c r="E152" s="172">
        <v>85</v>
      </c>
      <c r="F152" s="378" t="s">
        <v>578</v>
      </c>
      <c r="G152" s="378"/>
      <c r="H152" s="378"/>
      <c r="I152" s="195"/>
      <c r="J152" s="196"/>
    </row>
    <row r="153" spans="2:10" ht="15" customHeight="1" x14ac:dyDescent="0.25">
      <c r="B153" s="14"/>
      <c r="C153" s="14"/>
      <c r="E153" s="8" t="s">
        <v>51</v>
      </c>
      <c r="F153" s="187" t="s">
        <v>52</v>
      </c>
      <c r="G153" s="188" t="s">
        <v>53</v>
      </c>
    </row>
    <row r="154" spans="2:10" ht="15" customHeight="1" x14ac:dyDescent="0.25">
      <c r="B154" s="14"/>
      <c r="C154" s="14"/>
      <c r="E154" s="11" t="s">
        <v>54</v>
      </c>
      <c r="F154" s="11" t="s">
        <v>54</v>
      </c>
      <c r="G154" s="11" t="s">
        <v>54</v>
      </c>
    </row>
    <row r="155" spans="2:10" ht="15" customHeight="1" x14ac:dyDescent="0.25">
      <c r="B155" s="14"/>
      <c r="C155" s="14"/>
      <c r="E155" s="107"/>
    </row>
    <row r="156" spans="2:10" ht="15" customHeight="1" x14ac:dyDescent="0.25">
      <c r="B156" s="22" t="s">
        <v>49</v>
      </c>
      <c r="C156" s="22" t="s">
        <v>1</v>
      </c>
      <c r="D156" s="22" t="s">
        <v>64</v>
      </c>
      <c r="E156" s="22" t="s">
        <v>65</v>
      </c>
    </row>
    <row r="157" spans="2:10" ht="15" customHeight="1" x14ac:dyDescent="0.25">
      <c r="B157" s="1">
        <v>13</v>
      </c>
      <c r="C157" s="2" t="s">
        <v>12</v>
      </c>
      <c r="D157" s="21"/>
      <c r="E157" s="197"/>
    </row>
    <row r="158" spans="2:10" ht="15" customHeight="1" x14ac:dyDescent="0.25">
      <c r="B158" s="14"/>
      <c r="C158" s="14"/>
    </row>
    <row r="159" spans="2:10" ht="15" customHeight="1" x14ac:dyDescent="0.25">
      <c r="B159" s="14"/>
      <c r="C159" s="14"/>
      <c r="E159" s="374" t="s">
        <v>504</v>
      </c>
      <c r="F159" s="374"/>
      <c r="G159" s="374"/>
      <c r="H159" s="374"/>
      <c r="I159" s="374"/>
      <c r="J159" s="374"/>
    </row>
    <row r="160" spans="2:10" ht="15" customHeight="1" x14ac:dyDescent="0.25">
      <c r="B160" s="5" t="s">
        <v>49</v>
      </c>
      <c r="C160" s="5" t="s">
        <v>1</v>
      </c>
      <c r="D160" s="6" t="s">
        <v>48</v>
      </c>
      <c r="E160" s="162" t="s">
        <v>505</v>
      </c>
      <c r="F160" s="377" t="s">
        <v>506</v>
      </c>
      <c r="G160" s="377"/>
      <c r="H160" s="377"/>
      <c r="I160" s="161" t="s">
        <v>505</v>
      </c>
      <c r="J160" s="163" t="s">
        <v>506</v>
      </c>
    </row>
    <row r="161" spans="2:10" ht="30" customHeight="1" x14ac:dyDescent="0.25">
      <c r="B161" s="1">
        <v>14</v>
      </c>
      <c r="C161" s="2" t="s">
        <v>13</v>
      </c>
      <c r="D161" s="159" t="s">
        <v>66</v>
      </c>
      <c r="E161" s="172">
        <v>86</v>
      </c>
      <c r="F161" s="378" t="s">
        <v>114</v>
      </c>
      <c r="G161" s="378"/>
      <c r="H161" s="378"/>
      <c r="I161" s="172">
        <v>36</v>
      </c>
      <c r="J161" s="173" t="s">
        <v>113</v>
      </c>
    </row>
    <row r="162" spans="2:10" ht="15" customHeight="1" x14ac:dyDescent="0.25">
      <c r="B162" s="14"/>
      <c r="C162" s="14"/>
      <c r="E162" s="8" t="s">
        <v>51</v>
      </c>
      <c r="F162" s="187" t="s">
        <v>52</v>
      </c>
      <c r="G162" s="188" t="s">
        <v>53</v>
      </c>
    </row>
    <row r="163" spans="2:10" ht="15" customHeight="1" x14ac:dyDescent="0.25">
      <c r="B163" s="14"/>
      <c r="C163" s="14"/>
      <c r="E163" s="11" t="s">
        <v>54</v>
      </c>
      <c r="F163" s="11" t="s">
        <v>54</v>
      </c>
      <c r="G163" s="11" t="s">
        <v>54</v>
      </c>
    </row>
    <row r="164" spans="2:10" ht="15" customHeight="1" x14ac:dyDescent="0.25">
      <c r="B164" s="14"/>
      <c r="C164" s="14"/>
      <c r="E164" s="107"/>
      <c r="F164" s="107"/>
      <c r="G164" s="107"/>
    </row>
    <row r="165" spans="2:10" ht="91.5" customHeight="1" x14ac:dyDescent="0.25">
      <c r="B165" s="405" t="e" vm="3">
        <v>#VALUE!</v>
      </c>
      <c r="C165" s="405"/>
      <c r="D165" s="405"/>
      <c r="E165" s="405"/>
      <c r="F165" s="405"/>
      <c r="G165" s="405"/>
    </row>
    <row r="166" spans="2:10" ht="15" customHeight="1" x14ac:dyDescent="0.25">
      <c r="B166" s="14"/>
      <c r="C166" s="14"/>
      <c r="E166" s="107"/>
    </row>
    <row r="167" spans="2:10" ht="15" customHeight="1" x14ac:dyDescent="0.25">
      <c r="B167" s="22" t="s">
        <v>49</v>
      </c>
      <c r="C167" s="22" t="s">
        <v>1</v>
      </c>
      <c r="D167" s="22" t="s">
        <v>64</v>
      </c>
      <c r="E167" s="22" t="s">
        <v>65</v>
      </c>
    </row>
    <row r="168" spans="2:10" ht="15" customHeight="1" x14ac:dyDescent="0.25">
      <c r="B168" s="1">
        <v>14</v>
      </c>
      <c r="C168" s="2" t="s">
        <v>13</v>
      </c>
      <c r="D168" s="21"/>
      <c r="E168" s="21"/>
    </row>
    <row r="169" spans="2:10" ht="15" customHeight="1" x14ac:dyDescent="0.25">
      <c r="B169" s="14"/>
      <c r="C169" s="14"/>
      <c r="E169" s="107"/>
    </row>
    <row r="170" spans="2:10" ht="15" customHeight="1" x14ac:dyDescent="0.25">
      <c r="B170" s="14"/>
      <c r="C170" s="14"/>
      <c r="E170" s="374" t="s">
        <v>504</v>
      </c>
      <c r="F170" s="374"/>
      <c r="G170" s="374"/>
      <c r="H170" s="374"/>
      <c r="I170" s="374"/>
      <c r="J170" s="374"/>
    </row>
    <row r="171" spans="2:10" ht="15" customHeight="1" x14ac:dyDescent="0.25">
      <c r="B171" s="5" t="s">
        <v>49</v>
      </c>
      <c r="C171" s="5" t="s">
        <v>1</v>
      </c>
      <c r="D171" s="6" t="s">
        <v>48</v>
      </c>
      <c r="E171" s="162" t="s">
        <v>505</v>
      </c>
      <c r="F171" s="377" t="s">
        <v>506</v>
      </c>
      <c r="G171" s="377"/>
      <c r="H171" s="377"/>
      <c r="I171" s="161" t="s">
        <v>505</v>
      </c>
      <c r="J171" s="163" t="s">
        <v>506</v>
      </c>
    </row>
    <row r="172" spans="2:10" ht="33" customHeight="1" x14ac:dyDescent="0.25">
      <c r="B172" s="1">
        <v>15</v>
      </c>
      <c r="C172" s="2" t="s">
        <v>14</v>
      </c>
      <c r="D172" s="159" t="s">
        <v>66</v>
      </c>
      <c r="E172" s="172">
        <v>87</v>
      </c>
      <c r="F172" s="378" t="s">
        <v>116</v>
      </c>
      <c r="G172" s="378"/>
      <c r="H172" s="378"/>
      <c r="I172" s="172">
        <v>37</v>
      </c>
      <c r="J172" s="173" t="s">
        <v>115</v>
      </c>
    </row>
    <row r="173" spans="2:10" ht="15" customHeight="1" x14ac:dyDescent="0.25">
      <c r="B173" s="14"/>
      <c r="C173" s="14"/>
      <c r="E173" s="8" t="s">
        <v>51</v>
      </c>
      <c r="F173" s="187" t="s">
        <v>52</v>
      </c>
      <c r="G173" s="188" t="s">
        <v>53</v>
      </c>
    </row>
    <row r="174" spans="2:10" ht="15" customHeight="1" x14ac:dyDescent="0.25">
      <c r="B174" s="14"/>
      <c r="C174" s="14"/>
      <c r="E174" s="11" t="s">
        <v>54</v>
      </c>
      <c r="F174" s="11" t="s">
        <v>94</v>
      </c>
      <c r="G174" s="11" t="s">
        <v>94</v>
      </c>
    </row>
    <row r="175" spans="2:10" ht="15" customHeight="1" x14ac:dyDescent="0.25">
      <c r="B175" s="14"/>
      <c r="C175" s="14"/>
      <c r="E175" s="107"/>
      <c r="F175" s="382" t="s">
        <v>601</v>
      </c>
      <c r="G175" s="382"/>
    </row>
    <row r="176" spans="2:10" ht="15" customHeight="1" x14ac:dyDescent="0.25">
      <c r="B176" s="14"/>
      <c r="C176" s="14"/>
      <c r="E176" s="107"/>
    </row>
    <row r="177" spans="2:10" ht="120.75" customHeight="1" x14ac:dyDescent="0.25">
      <c r="B177" s="381" t="s">
        <v>612</v>
      </c>
      <c r="C177" s="364"/>
      <c r="D177" s="364"/>
      <c r="E177" s="364"/>
      <c r="F177" s="364"/>
      <c r="G177" s="364"/>
    </row>
    <row r="178" spans="2:10" ht="116.25" customHeight="1" x14ac:dyDescent="0.25">
      <c r="B178" s="408" t="s">
        <v>616</v>
      </c>
      <c r="C178" s="409"/>
      <c r="D178" s="409"/>
      <c r="E178" s="409"/>
      <c r="F178" s="409"/>
      <c r="G178" s="409"/>
    </row>
    <row r="179" spans="2:10" ht="15" customHeight="1" x14ac:dyDescent="0.25">
      <c r="B179" s="14"/>
      <c r="C179" s="14"/>
      <c r="E179" s="107"/>
      <c r="F179" s="107"/>
      <c r="G179" s="107"/>
    </row>
    <row r="180" spans="2:10" ht="15" customHeight="1" x14ac:dyDescent="0.25">
      <c r="B180" s="22" t="s">
        <v>49</v>
      </c>
      <c r="C180" s="22" t="s">
        <v>1</v>
      </c>
      <c r="D180" s="22" t="s">
        <v>64</v>
      </c>
      <c r="E180" s="22" t="s">
        <v>65</v>
      </c>
      <c r="F180" s="107"/>
      <c r="G180" s="107"/>
    </row>
    <row r="181" spans="2:10" ht="15" customHeight="1" x14ac:dyDescent="0.25">
      <c r="B181" s="1">
        <v>15</v>
      </c>
      <c r="C181" s="2" t="s">
        <v>14</v>
      </c>
      <c r="D181" s="21"/>
      <c r="E181" s="21"/>
      <c r="F181" s="107"/>
      <c r="G181" s="107"/>
    </row>
    <row r="182" spans="2:10" ht="15" customHeight="1" x14ac:dyDescent="0.25">
      <c r="B182" s="14"/>
      <c r="C182" s="14"/>
      <c r="E182" s="107"/>
      <c r="F182" s="107"/>
      <c r="G182" s="107"/>
    </row>
    <row r="183" spans="2:10" ht="15" customHeight="1" x14ac:dyDescent="0.25">
      <c r="B183" s="14"/>
      <c r="C183" s="14"/>
      <c r="E183" s="374" t="s">
        <v>504</v>
      </c>
      <c r="F183" s="374"/>
      <c r="G183" s="374"/>
      <c r="H183" s="374"/>
      <c r="I183" s="374"/>
      <c r="J183" s="374"/>
    </row>
    <row r="184" spans="2:10" ht="15" customHeight="1" x14ac:dyDescent="0.25">
      <c r="B184" s="5" t="s">
        <v>49</v>
      </c>
      <c r="C184" s="5" t="s">
        <v>1</v>
      </c>
      <c r="D184" s="6" t="s">
        <v>48</v>
      </c>
      <c r="E184" s="162" t="s">
        <v>505</v>
      </c>
      <c r="F184" s="377" t="s">
        <v>506</v>
      </c>
      <c r="G184" s="377"/>
      <c r="H184" s="377"/>
      <c r="I184" s="161" t="s">
        <v>505</v>
      </c>
      <c r="J184" s="163" t="s">
        <v>506</v>
      </c>
    </row>
    <row r="185" spans="2:10" ht="15" customHeight="1" x14ac:dyDescent="0.25">
      <c r="B185" s="1">
        <v>19</v>
      </c>
      <c r="C185" s="2" t="s">
        <v>15</v>
      </c>
      <c r="D185" s="159" t="s">
        <v>50</v>
      </c>
      <c r="E185" s="172">
        <v>39</v>
      </c>
      <c r="F185" s="378" t="s">
        <v>167</v>
      </c>
      <c r="G185" s="378"/>
      <c r="H185" s="378"/>
      <c r="I185" s="172">
        <v>38</v>
      </c>
      <c r="J185" s="173" t="s">
        <v>166</v>
      </c>
    </row>
    <row r="186" spans="2:10" ht="15" customHeight="1" x14ac:dyDescent="0.25">
      <c r="B186" s="14"/>
      <c r="C186" s="14"/>
      <c r="E186" s="8" t="s">
        <v>51</v>
      </c>
      <c r="F186" s="187" t="s">
        <v>52</v>
      </c>
      <c r="G186" s="188" t="s">
        <v>53</v>
      </c>
    </row>
    <row r="187" spans="2:10" ht="15" customHeight="1" x14ac:dyDescent="0.25">
      <c r="B187" s="14"/>
      <c r="C187" s="14"/>
      <c r="E187" s="11" t="s">
        <v>54</v>
      </c>
      <c r="F187" s="11" t="s">
        <v>94</v>
      </c>
      <c r="G187" s="11" t="s">
        <v>94</v>
      </c>
    </row>
    <row r="188" spans="2:10" ht="15" customHeight="1" x14ac:dyDescent="0.25">
      <c r="B188" s="14"/>
      <c r="C188" s="14"/>
      <c r="E188" s="107"/>
      <c r="F188" s="405" t="s">
        <v>93</v>
      </c>
      <c r="G188" s="405"/>
    </row>
    <row r="189" spans="2:10" ht="15" customHeight="1" x14ac:dyDescent="0.25">
      <c r="B189" s="14"/>
      <c r="C189" s="14"/>
      <c r="E189" s="107"/>
      <c r="F189" s="198"/>
      <c r="G189" s="198"/>
    </row>
    <row r="190" spans="2:10" ht="141" customHeight="1" x14ac:dyDescent="0.25">
      <c r="B190" s="381" t="s">
        <v>617</v>
      </c>
      <c r="C190" s="364"/>
      <c r="D190" s="364"/>
      <c r="E190" s="364"/>
      <c r="F190" s="364"/>
      <c r="G190" s="364"/>
    </row>
    <row r="191" spans="2:10" ht="15" customHeight="1" x14ac:dyDescent="0.25">
      <c r="B191" s="14"/>
      <c r="C191" s="14"/>
      <c r="E191" s="107"/>
      <c r="F191" s="198"/>
      <c r="G191" s="198"/>
    </row>
    <row r="192" spans="2:10" ht="379.5" customHeight="1" x14ac:dyDescent="0.25">
      <c r="B192" s="406" t="s">
        <v>840</v>
      </c>
      <c r="C192" s="407"/>
      <c r="D192" s="407"/>
      <c r="E192" s="407"/>
      <c r="F192" s="407"/>
      <c r="G192" s="407"/>
    </row>
    <row r="193" spans="2:7" ht="15" customHeight="1" x14ac:dyDescent="0.25">
      <c r="B193" s="14"/>
      <c r="C193" s="14"/>
      <c r="E193" s="107"/>
      <c r="F193" s="198"/>
      <c r="G193" s="198"/>
    </row>
    <row r="194" spans="2:7" ht="15" customHeight="1" x14ac:dyDescent="0.25">
      <c r="B194" s="14"/>
      <c r="C194" s="14" t="s">
        <v>63</v>
      </c>
      <c r="D194" s="15">
        <v>650</v>
      </c>
      <c r="E194" s="194" t="s">
        <v>622</v>
      </c>
      <c r="F194" s="166">
        <v>117.31</v>
      </c>
    </row>
    <row r="195" spans="2:7" ht="15" customHeight="1" x14ac:dyDescent="0.25">
      <c r="B195" s="14" t="s">
        <v>633</v>
      </c>
      <c r="C195" s="202" t="s">
        <v>84</v>
      </c>
      <c r="D195" s="4">
        <f>IFERROR(VLOOKUP(C195,GENERAL!$B$21:$C$22,2,FALSE),"")</f>
        <v>315.04000000000002</v>
      </c>
      <c r="E195" s="194"/>
    </row>
    <row r="196" spans="2:7" ht="15" customHeight="1" x14ac:dyDescent="0.25">
      <c r="B196" s="14"/>
      <c r="C196" s="14"/>
      <c r="E196" s="107"/>
      <c r="F196" s="198"/>
      <c r="G196" s="198"/>
    </row>
    <row r="197" spans="2:7" ht="15" customHeight="1" x14ac:dyDescent="0.25">
      <c r="B197" s="199" t="s">
        <v>173</v>
      </c>
      <c r="C197" s="199" t="s">
        <v>618</v>
      </c>
      <c r="D197" s="199" t="s">
        <v>619</v>
      </c>
      <c r="E197" s="199" t="s">
        <v>620</v>
      </c>
      <c r="F197" s="199" t="s">
        <v>621</v>
      </c>
      <c r="G197" s="198"/>
    </row>
    <row r="198" spans="2:7" ht="15" customHeight="1" x14ac:dyDescent="0.25">
      <c r="B198" s="11" t="s">
        <v>623</v>
      </c>
      <c r="C198" s="200" t="s">
        <v>631</v>
      </c>
      <c r="D198" s="52">
        <v>5</v>
      </c>
      <c r="E198" s="4">
        <f>IFERROR(IF(C198="Simple",ROUND($D$194/8,2),IF(C198="Doble",ROUND($D$194/4,2),IF(C198="Triple",ROUND($D$194/8*3,2),""))),"")</f>
        <v>81.25</v>
      </c>
      <c r="F198" s="201">
        <f>IFERROR(ROUND(D198*E198,2),"")</f>
        <v>406.25</v>
      </c>
      <c r="G198" s="198"/>
    </row>
    <row r="199" spans="2:7" ht="15" customHeight="1" x14ac:dyDescent="0.25">
      <c r="B199" s="11" t="s">
        <v>624</v>
      </c>
      <c r="C199" s="200" t="s">
        <v>630</v>
      </c>
      <c r="D199" s="52">
        <v>4</v>
      </c>
      <c r="E199" s="4">
        <f t="shared" ref="E199:E204" si="1">IFERROR(IF(C199="Simple",ROUND($D$194/8,2),IF(C199="Doble",ROUND($D$194/4,2),IF(C199="Triple",ROUND($D$194/8*3,2),""))),"")</f>
        <v>162.5</v>
      </c>
      <c r="F199" s="201">
        <f t="shared" ref="F199:F204" si="2">IFERROR(ROUND(D199*E199,2),"")</f>
        <v>650</v>
      </c>
      <c r="G199" s="198"/>
    </row>
    <row r="200" spans="2:7" ht="15" customHeight="1" x14ac:dyDescent="0.25">
      <c r="B200" s="11" t="s">
        <v>625</v>
      </c>
      <c r="C200" s="200" t="s">
        <v>630</v>
      </c>
      <c r="D200" s="52">
        <v>3</v>
      </c>
      <c r="E200" s="4">
        <f t="shared" si="1"/>
        <v>162.5</v>
      </c>
      <c r="F200" s="201">
        <f t="shared" si="2"/>
        <v>487.5</v>
      </c>
      <c r="G200" s="198"/>
    </row>
    <row r="201" spans="2:7" ht="15" customHeight="1" x14ac:dyDescent="0.25">
      <c r="B201" s="11" t="s">
        <v>626</v>
      </c>
      <c r="C201" s="200" t="s">
        <v>630</v>
      </c>
      <c r="D201" s="52">
        <v>1</v>
      </c>
      <c r="E201" s="4">
        <f t="shared" si="1"/>
        <v>162.5</v>
      </c>
      <c r="F201" s="201">
        <f t="shared" si="2"/>
        <v>162.5</v>
      </c>
      <c r="G201" s="198"/>
    </row>
    <row r="202" spans="2:7" ht="15" customHeight="1" x14ac:dyDescent="0.25">
      <c r="B202" s="11" t="s">
        <v>627</v>
      </c>
      <c r="C202" s="200" t="s">
        <v>630</v>
      </c>
      <c r="D202" s="52">
        <v>2</v>
      </c>
      <c r="E202" s="4">
        <f t="shared" si="1"/>
        <v>162.5</v>
      </c>
      <c r="F202" s="201">
        <f t="shared" si="2"/>
        <v>325</v>
      </c>
      <c r="G202" s="198"/>
    </row>
    <row r="203" spans="2:7" ht="15" customHeight="1" x14ac:dyDescent="0.25">
      <c r="B203" s="11" t="s">
        <v>628</v>
      </c>
      <c r="C203" s="200" t="s">
        <v>632</v>
      </c>
      <c r="D203" s="52">
        <v>4</v>
      </c>
      <c r="E203" s="4">
        <f t="shared" si="1"/>
        <v>243.75</v>
      </c>
      <c r="F203" s="201">
        <f t="shared" si="2"/>
        <v>975</v>
      </c>
      <c r="G203" s="198"/>
    </row>
    <row r="204" spans="2:7" ht="15" customHeight="1" x14ac:dyDescent="0.25">
      <c r="B204" s="11" t="s">
        <v>629</v>
      </c>
      <c r="C204" s="200"/>
      <c r="D204" s="52"/>
      <c r="E204" s="4" t="str">
        <f t="shared" si="1"/>
        <v/>
      </c>
      <c r="F204" s="201" t="str">
        <f t="shared" si="2"/>
        <v/>
      </c>
      <c r="G204" s="198"/>
    </row>
    <row r="205" spans="2:7" ht="15" customHeight="1" x14ac:dyDescent="0.25">
      <c r="B205" s="14"/>
      <c r="C205" s="14"/>
      <c r="E205" s="194" t="s">
        <v>326</v>
      </c>
      <c r="F205" s="13">
        <f>SUMIF(F198:F204,"&gt;0")</f>
        <v>3006.25</v>
      </c>
      <c r="G205" s="198"/>
    </row>
    <row r="206" spans="2:7" ht="15" customHeight="1" x14ac:dyDescent="0.25">
      <c r="B206" s="14"/>
      <c r="C206" s="14"/>
      <c r="G206" s="198"/>
    </row>
    <row r="207" spans="2:7" ht="42" customHeight="1" x14ac:dyDescent="0.25">
      <c r="B207" s="14"/>
      <c r="C207" s="223" t="s">
        <v>634</v>
      </c>
      <c r="D207" s="223" t="s">
        <v>638</v>
      </c>
      <c r="E207" s="223" t="s">
        <v>637</v>
      </c>
      <c r="F207" s="224" t="s">
        <v>640</v>
      </c>
    </row>
    <row r="208" spans="2:7" ht="15" customHeight="1" x14ac:dyDescent="0.25">
      <c r="B208" s="14"/>
      <c r="C208" s="193" t="s">
        <v>635</v>
      </c>
      <c r="D208" s="204">
        <f>IFERROR(SUMIF($C$198:$C$204,"Simple",$D$198:$D$204),"")</f>
        <v>5</v>
      </c>
      <c r="E208" s="21">
        <f>IFERROR(SUMIF($C$198:$C$204,"Simple",$F$198:$F$204),"")</f>
        <v>406.25</v>
      </c>
      <c r="F208" s="21">
        <f>IF(E208&lt;&gt;"",E208,"")</f>
        <v>406.25</v>
      </c>
    </row>
    <row r="209" spans="2:7" ht="15" customHeight="1" x14ac:dyDescent="0.25">
      <c r="B209" s="14"/>
      <c r="C209" s="193" t="s">
        <v>650</v>
      </c>
      <c r="D209" s="204">
        <f>IFERROR(SUMIF($C$198:$C$204,"Doble",$D$198:$D$204),"")</f>
        <v>10</v>
      </c>
      <c r="E209" s="21">
        <f>IFERROR(SUMIF($C$198:$C$204,"Doble",$F$198:$F$204),"")</f>
        <v>1625</v>
      </c>
      <c r="F209" s="225">
        <f>IF(E209&lt;&gt;"",IF(D209&lt;=9,E209,(E209-(D209-9)*(ROUND(D194/4,2)))),"")</f>
        <v>1462.5</v>
      </c>
    </row>
    <row r="210" spans="2:7" ht="15" customHeight="1" x14ac:dyDescent="0.25">
      <c r="B210" s="14"/>
      <c r="C210" s="193" t="s">
        <v>636</v>
      </c>
      <c r="D210" s="204">
        <f>IFERROR(SUMIF($C$198:$C$204,"Triple",$D$198:$D$204),"")</f>
        <v>4</v>
      </c>
      <c r="E210" s="21">
        <f>IFERROR(SUMIF($C$198:$C$204,"Triple",$F$198:$F$204),"")</f>
        <v>975</v>
      </c>
      <c r="F210" s="226"/>
    </row>
    <row r="211" spans="2:7" ht="15" customHeight="1" x14ac:dyDescent="0.25">
      <c r="B211" s="14"/>
      <c r="C211" s="203"/>
      <c r="D211" t="s">
        <v>326</v>
      </c>
      <c r="E211" s="12">
        <f>SUMIF(E208:E210,"&gt;0")</f>
        <v>3006.25</v>
      </c>
    </row>
    <row r="212" spans="2:7" ht="15" customHeight="1" x14ac:dyDescent="0.25">
      <c r="B212" s="14"/>
      <c r="C212" s="203"/>
    </row>
    <row r="213" spans="2:7" ht="15" customHeight="1" x14ac:dyDescent="0.25">
      <c r="B213" s="22" t="s">
        <v>49</v>
      </c>
      <c r="C213" s="22" t="s">
        <v>1</v>
      </c>
      <c r="D213" s="22" t="s">
        <v>64</v>
      </c>
      <c r="E213" s="22" t="s">
        <v>65</v>
      </c>
    </row>
    <row r="214" spans="2:7" ht="15" customHeight="1" thickBot="1" x14ac:dyDescent="0.3">
      <c r="B214" s="1">
        <v>19</v>
      </c>
      <c r="C214" s="205" t="s">
        <v>15</v>
      </c>
      <c r="D214" s="206">
        <f>IFERROR(IF(E211&gt;E214,E211-E214,""),"")</f>
        <v>2419.6999999999998</v>
      </c>
      <c r="E214" s="21">
        <f>IFERROR(IF(D194&gt;D195,IF(((SUMIF(F208:F209,"&gt;0")/2))&lt;=(F194*5),SUMIF(F208:F209,"&gt;0")/2,ROUND(F194*5,2)),SUMIF(F208:F209,"&gt;0")),"")</f>
        <v>586.54999999999995</v>
      </c>
    </row>
    <row r="215" spans="2:7" ht="15" customHeight="1" thickBot="1" x14ac:dyDescent="0.3">
      <c r="B215" s="14"/>
      <c r="C215" s="207" t="s">
        <v>651</v>
      </c>
      <c r="D215" s="208">
        <f>IF(D208&gt;0,COUNTIF(C198:C204,"Simple"),"")</f>
        <v>1</v>
      </c>
    </row>
    <row r="216" spans="2:7" ht="15" customHeight="1" thickBot="1" x14ac:dyDescent="0.3">
      <c r="B216" s="14"/>
      <c r="C216" s="207" t="s">
        <v>151</v>
      </c>
      <c r="D216" s="209">
        <f>IF(D208&gt;0,3,"")</f>
        <v>3</v>
      </c>
    </row>
    <row r="217" spans="2:7" ht="15" customHeight="1" thickBot="1" x14ac:dyDescent="0.3">
      <c r="B217" s="14"/>
      <c r="C217" s="207" t="s">
        <v>639</v>
      </c>
      <c r="D217" s="208">
        <f>IF(D208&gt;0,D208,"")</f>
        <v>5</v>
      </c>
      <c r="F217" s="198"/>
      <c r="G217" s="198"/>
    </row>
    <row r="218" spans="2:7" ht="15" customHeight="1" thickBot="1" x14ac:dyDescent="0.3">
      <c r="B218" s="14"/>
      <c r="C218" s="207" t="s">
        <v>156</v>
      </c>
      <c r="D218" s="214">
        <f>IF(E208&gt;0,E208,"")</f>
        <v>406.25</v>
      </c>
      <c r="F218" s="198"/>
      <c r="G218" s="198"/>
    </row>
    <row r="219" spans="2:7" ht="15" customHeight="1" thickBot="1" x14ac:dyDescent="0.3">
      <c r="B219" s="14"/>
      <c r="C219" s="210" t="s">
        <v>651</v>
      </c>
      <c r="D219" s="215">
        <f>IF(D208&gt;0,COUNTIF(C198:C204,"Doble"),"")</f>
        <v>4</v>
      </c>
      <c r="F219" s="198"/>
      <c r="G219" s="198"/>
    </row>
    <row r="220" spans="2:7" ht="15" customHeight="1" thickBot="1" x14ac:dyDescent="0.3">
      <c r="B220" s="14"/>
      <c r="C220" s="211" t="s">
        <v>151</v>
      </c>
      <c r="D220" s="217">
        <f>IF(D208&gt;0,1,"")</f>
        <v>1</v>
      </c>
      <c r="F220" s="198"/>
      <c r="G220" s="198"/>
    </row>
    <row r="221" spans="2:7" ht="15" customHeight="1" thickBot="1" x14ac:dyDescent="0.3">
      <c r="B221" s="14"/>
      <c r="C221" s="211" t="s">
        <v>639</v>
      </c>
      <c r="D221" s="216">
        <f>IF(D209&gt;0,D209,"")</f>
        <v>10</v>
      </c>
      <c r="F221" s="198"/>
      <c r="G221" s="198"/>
    </row>
    <row r="222" spans="2:7" ht="15" customHeight="1" thickBot="1" x14ac:dyDescent="0.3">
      <c r="B222" s="14"/>
      <c r="C222" s="211" t="s">
        <v>156</v>
      </c>
      <c r="D222" s="218">
        <f>IF(E209&gt;0,E209,"")</f>
        <v>1625</v>
      </c>
      <c r="F222" s="198"/>
      <c r="G222" s="198"/>
    </row>
    <row r="223" spans="2:7" ht="15" customHeight="1" thickBot="1" x14ac:dyDescent="0.3">
      <c r="B223" s="14"/>
      <c r="C223" s="212" t="s">
        <v>651</v>
      </c>
      <c r="D223" s="219">
        <f>IF(D208&gt;0,COUNTIF(C198:C204,"Triple"),"")</f>
        <v>1</v>
      </c>
      <c r="F223" s="198"/>
      <c r="G223" s="198"/>
    </row>
    <row r="224" spans="2:7" ht="15" customHeight="1" thickBot="1" x14ac:dyDescent="0.3">
      <c r="B224" s="14"/>
      <c r="C224" s="213" t="s">
        <v>151</v>
      </c>
      <c r="D224" s="221">
        <f>IF(D208&gt;0,2,"")</f>
        <v>2</v>
      </c>
      <c r="F224" s="198"/>
      <c r="G224" s="198"/>
    </row>
    <row r="225" spans="2:10" ht="15" customHeight="1" thickBot="1" x14ac:dyDescent="0.3">
      <c r="B225" s="14"/>
      <c r="C225" s="213" t="s">
        <v>639</v>
      </c>
      <c r="D225" s="220">
        <f>IF(D210&gt;0,D210,"")</f>
        <v>4</v>
      </c>
      <c r="F225" s="198"/>
      <c r="G225" s="198"/>
    </row>
    <row r="226" spans="2:10" ht="15" customHeight="1" thickBot="1" x14ac:dyDescent="0.3">
      <c r="B226" s="14"/>
      <c r="C226" s="213" t="s">
        <v>156</v>
      </c>
      <c r="D226" s="222">
        <f>IF(E210&gt;0,E210,"")</f>
        <v>975</v>
      </c>
      <c r="F226" s="198"/>
      <c r="G226" s="198"/>
    </row>
    <row r="227" spans="2:10" ht="15" customHeight="1" x14ac:dyDescent="0.25">
      <c r="B227" s="14"/>
      <c r="C227" s="14"/>
      <c r="E227" s="107"/>
      <c r="F227" s="198"/>
      <c r="G227" s="198"/>
    </row>
    <row r="228" spans="2:10" ht="15" customHeight="1" x14ac:dyDescent="0.25">
      <c r="B228" s="14"/>
      <c r="C228" s="14"/>
      <c r="E228" s="107"/>
      <c r="F228" s="198"/>
      <c r="G228" s="198"/>
    </row>
    <row r="229" spans="2:10" ht="15" customHeight="1" x14ac:dyDescent="0.25">
      <c r="B229" s="5" t="s">
        <v>49</v>
      </c>
      <c r="C229" s="5" t="s">
        <v>1</v>
      </c>
      <c r="D229" s="6" t="s">
        <v>48</v>
      </c>
      <c r="E229" s="162" t="s">
        <v>505</v>
      </c>
      <c r="F229" s="377" t="s">
        <v>506</v>
      </c>
      <c r="G229" s="377"/>
      <c r="H229" s="377"/>
      <c r="I229" s="161" t="s">
        <v>505</v>
      </c>
      <c r="J229" s="163" t="s">
        <v>506</v>
      </c>
    </row>
    <row r="230" spans="2:10" ht="15" customHeight="1" x14ac:dyDescent="0.25">
      <c r="B230" s="1">
        <v>20</v>
      </c>
      <c r="C230" s="2" t="s">
        <v>16</v>
      </c>
      <c r="D230" s="159" t="s">
        <v>50</v>
      </c>
      <c r="E230" s="172">
        <v>41</v>
      </c>
      <c r="F230" s="378" t="s">
        <v>169</v>
      </c>
      <c r="G230" s="378"/>
      <c r="H230" s="378"/>
      <c r="I230" s="172">
        <v>40</v>
      </c>
      <c r="J230" s="173" t="s">
        <v>168</v>
      </c>
    </row>
    <row r="231" spans="2:10" ht="15" customHeight="1" x14ac:dyDescent="0.25">
      <c r="B231" s="14"/>
      <c r="C231" s="14"/>
      <c r="E231" s="8" t="s">
        <v>51</v>
      </c>
      <c r="F231" s="187" t="s">
        <v>52</v>
      </c>
      <c r="G231" s="188" t="s">
        <v>53</v>
      </c>
    </row>
    <row r="232" spans="2:10" ht="15" customHeight="1" x14ac:dyDescent="0.25">
      <c r="B232" s="14"/>
      <c r="C232" s="14"/>
      <c r="E232" s="11" t="s">
        <v>54</v>
      </c>
      <c r="F232" s="11" t="s">
        <v>54</v>
      </c>
      <c r="G232" s="11" t="s">
        <v>54</v>
      </c>
    </row>
    <row r="233" spans="2:10" ht="15" customHeight="1" x14ac:dyDescent="0.25">
      <c r="B233" s="14"/>
      <c r="C233" s="14"/>
      <c r="E233" s="107"/>
      <c r="F233" s="198"/>
      <c r="G233" s="198"/>
    </row>
    <row r="234" spans="2:10" ht="85.5" customHeight="1" x14ac:dyDescent="0.25">
      <c r="B234" s="410" t="s">
        <v>641</v>
      </c>
      <c r="C234" s="410"/>
      <c r="D234" s="410"/>
      <c r="E234" s="410"/>
      <c r="F234" s="410"/>
      <c r="G234" s="410"/>
    </row>
    <row r="235" spans="2:10" ht="118.5" customHeight="1" x14ac:dyDescent="0.25">
      <c r="B235" s="359" t="s">
        <v>95</v>
      </c>
      <c r="C235" s="359"/>
      <c r="D235" s="359"/>
      <c r="E235" s="359"/>
      <c r="F235" s="359"/>
      <c r="G235" s="359"/>
    </row>
    <row r="236" spans="2:10" ht="15" customHeight="1" x14ac:dyDescent="0.25">
      <c r="B236" s="14"/>
      <c r="C236" s="14"/>
      <c r="E236" s="107"/>
      <c r="F236" s="198"/>
      <c r="G236" s="198"/>
    </row>
    <row r="237" spans="2:10" ht="15" customHeight="1" x14ac:dyDescent="0.25">
      <c r="B237" s="22" t="s">
        <v>49</v>
      </c>
      <c r="C237" s="22" t="s">
        <v>1</v>
      </c>
      <c r="D237" s="22" t="s">
        <v>64</v>
      </c>
      <c r="E237" s="22" t="s">
        <v>65</v>
      </c>
      <c r="F237" s="198"/>
      <c r="G237" s="198"/>
    </row>
    <row r="238" spans="2:10" ht="15" customHeight="1" x14ac:dyDescent="0.25">
      <c r="B238" s="1">
        <v>20</v>
      </c>
      <c r="C238" s="2" t="s">
        <v>16</v>
      </c>
      <c r="D238" s="21" t="str">
        <f>IFERROR(IF(E235&gt;E238,E235-E238,""),"")</f>
        <v/>
      </c>
      <c r="E238" s="21"/>
      <c r="F238" s="198"/>
      <c r="G238" s="198"/>
    </row>
    <row r="239" spans="2:10" ht="15" customHeight="1" x14ac:dyDescent="0.25">
      <c r="B239" s="14"/>
      <c r="C239" s="14"/>
      <c r="E239" s="107"/>
      <c r="F239" s="198"/>
      <c r="G239" s="198"/>
    </row>
    <row r="240" spans="2:10" ht="15" customHeight="1" x14ac:dyDescent="0.25">
      <c r="B240" s="5" t="s">
        <v>49</v>
      </c>
      <c r="C240" s="5" t="s">
        <v>1</v>
      </c>
      <c r="D240" s="6" t="s">
        <v>48</v>
      </c>
      <c r="E240" s="162" t="s">
        <v>505</v>
      </c>
      <c r="F240" s="377" t="s">
        <v>506</v>
      </c>
      <c r="G240" s="377"/>
      <c r="H240" s="377"/>
      <c r="I240" s="161" t="s">
        <v>505</v>
      </c>
      <c r="J240" s="163" t="s">
        <v>506</v>
      </c>
    </row>
    <row r="241" spans="2:10" ht="15" customHeight="1" x14ac:dyDescent="0.25">
      <c r="B241" s="1">
        <v>21</v>
      </c>
      <c r="C241" s="2" t="s">
        <v>17</v>
      </c>
      <c r="D241" s="159" t="s">
        <v>50</v>
      </c>
      <c r="E241" s="172">
        <v>43</v>
      </c>
      <c r="F241" s="378" t="s">
        <v>118</v>
      </c>
      <c r="G241" s="378"/>
      <c r="H241" s="378"/>
      <c r="I241" s="172">
        <v>42</v>
      </c>
      <c r="J241" s="173" t="s">
        <v>117</v>
      </c>
    </row>
    <row r="242" spans="2:10" ht="15" customHeight="1" x14ac:dyDescent="0.25">
      <c r="B242" s="14"/>
      <c r="C242" s="14"/>
      <c r="E242" s="8" t="s">
        <v>51</v>
      </c>
      <c r="F242" s="187" t="s">
        <v>52</v>
      </c>
      <c r="G242" s="188" t="s">
        <v>53</v>
      </c>
    </row>
    <row r="243" spans="2:10" ht="15" customHeight="1" x14ac:dyDescent="0.25">
      <c r="B243" s="14"/>
      <c r="C243" s="14"/>
      <c r="E243" s="11" t="s">
        <v>54</v>
      </c>
      <c r="F243" s="11" t="s">
        <v>54</v>
      </c>
      <c r="G243" s="11" t="s">
        <v>54</v>
      </c>
    </row>
    <row r="244" spans="2:10" ht="15" customHeight="1" x14ac:dyDescent="0.25">
      <c r="B244" s="14"/>
      <c r="C244" s="14"/>
      <c r="E244" s="107"/>
      <c r="F244" s="198"/>
      <c r="G244" s="198"/>
    </row>
    <row r="245" spans="2:10" ht="15" customHeight="1" x14ac:dyDescent="0.25">
      <c r="B245" s="14"/>
      <c r="C245" s="14" t="s">
        <v>148</v>
      </c>
      <c r="D245" s="51">
        <v>43160</v>
      </c>
      <c r="E245" s="107"/>
      <c r="F245" s="198"/>
      <c r="G245" s="198"/>
    </row>
    <row r="246" spans="2:10" ht="15" customHeight="1" x14ac:dyDescent="0.25">
      <c r="B246" s="14"/>
      <c r="C246" s="14" t="s">
        <v>149</v>
      </c>
      <c r="D246" s="51">
        <f ca="1">TODAY()</f>
        <v>46226</v>
      </c>
      <c r="E246" s="107"/>
      <c r="F246" s="198"/>
      <c r="G246" s="198"/>
    </row>
    <row r="247" spans="2:10" ht="15" customHeight="1" x14ac:dyDescent="0.25">
      <c r="B247" s="14"/>
      <c r="C247" s="14" t="s">
        <v>147</v>
      </c>
      <c r="D247" s="15">
        <v>500</v>
      </c>
      <c r="E247" s="107"/>
      <c r="F247" s="198"/>
      <c r="G247" s="198"/>
    </row>
    <row r="248" spans="2:10" ht="15" customHeight="1" x14ac:dyDescent="0.25">
      <c r="B248" s="14"/>
      <c r="C248" s="14" t="s">
        <v>642</v>
      </c>
      <c r="D248" s="66">
        <v>0.25</v>
      </c>
      <c r="E248" s="107"/>
      <c r="F248" s="198"/>
      <c r="G248" s="198"/>
    </row>
    <row r="249" spans="2:10" ht="15" customHeight="1" x14ac:dyDescent="0.25">
      <c r="B249" s="14"/>
      <c r="C249" s="14" t="s">
        <v>68</v>
      </c>
      <c r="D249" s="52">
        <v>113.14</v>
      </c>
      <c r="E249" s="107"/>
      <c r="F249" s="198"/>
      <c r="G249" s="198"/>
    </row>
    <row r="250" spans="2:10" ht="15" customHeight="1" x14ac:dyDescent="0.25">
      <c r="B250" s="14"/>
      <c r="C250" s="14"/>
      <c r="E250" s="107"/>
      <c r="F250" s="198"/>
      <c r="G250" s="198"/>
    </row>
    <row r="251" spans="2:10" ht="15" customHeight="1" x14ac:dyDescent="0.25">
      <c r="B251" s="14"/>
      <c r="C251" s="14" t="s">
        <v>175</v>
      </c>
      <c r="D251">
        <f ca="1">IFERROR(VLOOKUP(VALUE(DATEDIF(D245,D246,"Y")&amp;"."&amp;DATEDIF(D245,D246,"YM")&amp;DATEDIF(D245,D246,"MD")),TABLAV,3),"")</f>
        <v>22</v>
      </c>
      <c r="E251" s="107"/>
      <c r="F251" s="198"/>
      <c r="G251" s="198"/>
    </row>
    <row r="252" spans="2:10" ht="15" customHeight="1" x14ac:dyDescent="0.25">
      <c r="B252" s="14"/>
      <c r="C252" s="14"/>
      <c r="E252" s="107"/>
      <c r="F252" s="198"/>
      <c r="G252" s="198"/>
    </row>
    <row r="253" spans="2:10" ht="15" customHeight="1" x14ac:dyDescent="0.25">
      <c r="B253" s="22" t="s">
        <v>49</v>
      </c>
      <c r="C253" s="22" t="s">
        <v>1</v>
      </c>
      <c r="D253" s="22" t="s">
        <v>64</v>
      </c>
      <c r="E253" s="22" t="s">
        <v>65</v>
      </c>
      <c r="F253" s="198"/>
      <c r="G253" s="198"/>
    </row>
    <row r="254" spans="2:10" ht="15" customHeight="1" x14ac:dyDescent="0.25">
      <c r="B254" s="1">
        <v>21</v>
      </c>
      <c r="C254" s="2" t="s">
        <v>17</v>
      </c>
      <c r="D254" s="21">
        <f ca="1">IFERROR(IF(ROUND(D251*D247*D248,2)&gt;E254,ROUND((D251*D247*D248)-E254,2),""),"")</f>
        <v>1052.9000000000001</v>
      </c>
      <c r="E254" s="21">
        <f ca="1">IFERROR(IF((D251*D247*D248)&lt;=(D249*15),ROUND(D251*D247*D248,2),ROUND(D249*15,2)),"")</f>
        <v>1697.1</v>
      </c>
      <c r="F254" s="198"/>
      <c r="G254" s="198"/>
    </row>
    <row r="255" spans="2:10" ht="15" customHeight="1" x14ac:dyDescent="0.25">
      <c r="B255" s="14"/>
      <c r="C255" s="14"/>
      <c r="E255" s="107"/>
      <c r="F255" s="198"/>
      <c r="G255" s="198"/>
    </row>
    <row r="256" spans="2:10" ht="15" customHeight="1" x14ac:dyDescent="0.25">
      <c r="B256" s="5" t="s">
        <v>49</v>
      </c>
      <c r="C256" s="5" t="s">
        <v>1</v>
      </c>
      <c r="D256" s="6" t="s">
        <v>48</v>
      </c>
      <c r="E256" s="162" t="s">
        <v>505</v>
      </c>
      <c r="F256" s="377" t="s">
        <v>506</v>
      </c>
      <c r="G256" s="377"/>
      <c r="H256" s="377"/>
      <c r="I256" s="161" t="s">
        <v>505</v>
      </c>
      <c r="J256" s="163" t="s">
        <v>506</v>
      </c>
    </row>
    <row r="257" spans="2:10" ht="32.25" customHeight="1" x14ac:dyDescent="0.25">
      <c r="B257" s="1">
        <v>22</v>
      </c>
      <c r="C257" s="2" t="s">
        <v>18</v>
      </c>
      <c r="D257" s="159" t="s">
        <v>66</v>
      </c>
      <c r="E257" s="172">
        <v>45</v>
      </c>
      <c r="F257" s="372" t="s">
        <v>572</v>
      </c>
      <c r="G257" s="372"/>
      <c r="H257" s="372"/>
      <c r="I257" s="177">
        <v>44</v>
      </c>
      <c r="J257" s="173" t="s">
        <v>571</v>
      </c>
    </row>
    <row r="258" spans="2:10" ht="30" customHeight="1" x14ac:dyDescent="0.25">
      <c r="B258" s="1">
        <v>23</v>
      </c>
      <c r="C258" s="2" t="s">
        <v>19</v>
      </c>
      <c r="D258" s="159" t="s">
        <v>66</v>
      </c>
      <c r="E258" s="172">
        <v>47</v>
      </c>
      <c r="F258" s="372" t="s">
        <v>574</v>
      </c>
      <c r="G258" s="372"/>
      <c r="H258" s="372"/>
      <c r="I258" s="177">
        <v>46</v>
      </c>
      <c r="J258" s="173" t="s">
        <v>573</v>
      </c>
    </row>
    <row r="259" spans="2:10" ht="15" customHeight="1" x14ac:dyDescent="0.25">
      <c r="B259" s="1">
        <v>25</v>
      </c>
      <c r="C259" s="2" t="s">
        <v>21</v>
      </c>
      <c r="D259" s="159" t="s">
        <v>66</v>
      </c>
      <c r="E259" s="172">
        <v>50</v>
      </c>
      <c r="F259" s="372" t="s">
        <v>576</v>
      </c>
      <c r="G259" s="372"/>
      <c r="H259" s="372"/>
      <c r="I259" s="177">
        <v>49</v>
      </c>
      <c r="J259" s="173" t="s">
        <v>575</v>
      </c>
    </row>
    <row r="260" spans="2:10" ht="15" customHeight="1" x14ac:dyDescent="0.25">
      <c r="B260" s="71"/>
      <c r="C260" s="35"/>
      <c r="D260" s="48"/>
      <c r="E260" s="8" t="s">
        <v>51</v>
      </c>
      <c r="F260" s="9" t="s">
        <v>52</v>
      </c>
      <c r="G260" s="10" t="s">
        <v>53</v>
      </c>
    </row>
    <row r="261" spans="2:10" ht="15" customHeight="1" x14ac:dyDescent="0.25">
      <c r="B261" s="71"/>
      <c r="C261" s="35"/>
      <c r="D261" s="48"/>
      <c r="E261" s="11" t="s">
        <v>94</v>
      </c>
      <c r="F261" s="11" t="s">
        <v>94</v>
      </c>
      <c r="G261" s="11" t="s">
        <v>94</v>
      </c>
    </row>
    <row r="262" spans="2:10" ht="15" customHeight="1" x14ac:dyDescent="0.25">
      <c r="B262" s="71"/>
      <c r="C262" s="35"/>
      <c r="D262" s="48"/>
      <c r="E262" s="107"/>
      <c r="F262" s="107"/>
      <c r="G262" s="107"/>
    </row>
    <row r="263" spans="2:10" ht="179.25" customHeight="1" x14ac:dyDescent="0.25">
      <c r="B263" s="381" t="s">
        <v>644</v>
      </c>
      <c r="C263" s="364"/>
      <c r="D263" s="364"/>
      <c r="E263" s="364"/>
      <c r="F263" s="364"/>
      <c r="G263" s="364"/>
    </row>
    <row r="264" spans="2:10" ht="15" customHeight="1" x14ac:dyDescent="0.25">
      <c r="B264" s="14"/>
      <c r="C264" s="14"/>
    </row>
    <row r="265" spans="2:10" ht="15" customHeight="1" x14ac:dyDescent="0.25">
      <c r="B265" s="14"/>
      <c r="C265" s="14" t="s">
        <v>148</v>
      </c>
      <c r="D265" s="51">
        <v>43160</v>
      </c>
    </row>
    <row r="266" spans="2:10" ht="15" customHeight="1" x14ac:dyDescent="0.25">
      <c r="B266" s="14"/>
      <c r="C266" s="14" t="s">
        <v>149</v>
      </c>
      <c r="D266" s="51">
        <f ca="1">TODAY()</f>
        <v>46226</v>
      </c>
    </row>
    <row r="267" spans="2:10" ht="15" customHeight="1" x14ac:dyDescent="0.25">
      <c r="B267" s="14"/>
      <c r="C267" s="14" t="s">
        <v>147</v>
      </c>
      <c r="D267" s="15">
        <v>500</v>
      </c>
    </row>
    <row r="268" spans="2:10" ht="15" customHeight="1" x14ac:dyDescent="0.25">
      <c r="B268" s="14"/>
      <c r="C268" s="14" t="s">
        <v>486</v>
      </c>
      <c r="D268" s="227">
        <v>550</v>
      </c>
    </row>
    <row r="269" spans="2:10" ht="15" customHeight="1" x14ac:dyDescent="0.25">
      <c r="B269" s="14"/>
      <c r="C269" s="14" t="s">
        <v>92</v>
      </c>
      <c r="D269" s="412" t="s">
        <v>84</v>
      </c>
      <c r="E269" s="412"/>
      <c r="F269" s="412"/>
    </row>
    <row r="270" spans="2:10" ht="15" customHeight="1" x14ac:dyDescent="0.25">
      <c r="B270" s="14"/>
      <c r="C270" s="14" t="s">
        <v>82</v>
      </c>
      <c r="D270" s="228">
        <f>IFERROR(VLOOKUP(D269,GENERAL!$B$21:$C$22,2,FALSE),"")</f>
        <v>315.04000000000002</v>
      </c>
    </row>
    <row r="271" spans="2:10" ht="15" customHeight="1" x14ac:dyDescent="0.25">
      <c r="B271" s="14"/>
      <c r="C271" s="14" t="s">
        <v>68</v>
      </c>
      <c r="D271" s="52">
        <v>113.14</v>
      </c>
    </row>
    <row r="272" spans="2:10" ht="15" customHeight="1" x14ac:dyDescent="0.25">
      <c r="B272" s="14"/>
      <c r="C272" s="14"/>
    </row>
    <row r="273" spans="2:5" ht="15" customHeight="1" x14ac:dyDescent="0.25">
      <c r="B273" s="14"/>
      <c r="C273" s="14" t="s">
        <v>645</v>
      </c>
      <c r="D273" s="4">
        <f ca="1">IFERROR(DATEDIF(D265,D266,"Y"),"")</f>
        <v>8</v>
      </c>
    </row>
    <row r="274" spans="2:5" ht="15" customHeight="1" x14ac:dyDescent="0.25">
      <c r="B274" s="14"/>
      <c r="C274" s="14" t="s">
        <v>646</v>
      </c>
      <c r="D274" s="4">
        <f ca="1">IFERROR(IF(VALUE(DATEDIF(D265,D266,"ym")&amp;"."&amp;DATEDIF(D265,D266,"md"))&gt;6,DATEDIF(D265,D266,"y")+1,DATEDIF(D265,D266,"y")),"")</f>
        <v>8</v>
      </c>
    </row>
    <row r="275" spans="2:5" ht="15" customHeight="1" x14ac:dyDescent="0.25">
      <c r="B275" s="14"/>
      <c r="C275" s="14"/>
    </row>
    <row r="276" spans="2:5" ht="15" customHeight="1" x14ac:dyDescent="0.25">
      <c r="B276" s="14"/>
      <c r="C276" s="14"/>
      <c r="E276" s="199" t="s">
        <v>648</v>
      </c>
    </row>
    <row r="277" spans="2:5" ht="15" customHeight="1" x14ac:dyDescent="0.25">
      <c r="B277" s="14"/>
      <c r="C277" s="14" t="s">
        <v>176</v>
      </c>
      <c r="D277" s="225">
        <f ca="1">IFERROR(IF(E277="Sí",ROUND(D273*12*IF(D267&gt;=ROUND(D270*2,2),ROUND(D270*2,2),D267),2),""),"")</f>
        <v>48000</v>
      </c>
      <c r="E277" s="52" t="s">
        <v>54</v>
      </c>
    </row>
    <row r="278" spans="2:5" ht="15" customHeight="1" x14ac:dyDescent="0.25">
      <c r="B278" s="14"/>
      <c r="C278" s="14" t="s">
        <v>649</v>
      </c>
      <c r="D278" s="21">
        <f>IFERROR(IF(E278="Sí",ROUND(D268*90,2),""),"")</f>
        <v>49500</v>
      </c>
      <c r="E278" s="52" t="s">
        <v>54</v>
      </c>
    </row>
    <row r="279" spans="2:5" ht="15" customHeight="1" x14ac:dyDescent="0.25">
      <c r="B279" s="14"/>
      <c r="C279" s="14" t="s">
        <v>647</v>
      </c>
      <c r="D279" s="21">
        <f ca="1">IFERROR(IF(E279="Sí",ROUND(20*D273*D268,2),""),"")</f>
        <v>88000</v>
      </c>
      <c r="E279" s="52" t="s">
        <v>54</v>
      </c>
    </row>
    <row r="280" spans="2:5" ht="15" customHeight="1" x14ac:dyDescent="0.25">
      <c r="B280" s="14"/>
      <c r="C280" s="14" t="s">
        <v>652</v>
      </c>
      <c r="D280" s="13">
        <f ca="1">SUMIF(D277:D279,"&gt;0")</f>
        <v>185500</v>
      </c>
    </row>
    <row r="281" spans="2:5" ht="15" customHeight="1" x14ac:dyDescent="0.25">
      <c r="B281" s="14"/>
      <c r="C281" s="14" t="s">
        <v>177</v>
      </c>
      <c r="D281" s="68">
        <f ca="1">IFERROR(IF(D280&gt;=ROUND(90*D274*D271,2),ROUND(90*D274*D271,2),D280),"")</f>
        <v>81460.800000000003</v>
      </c>
    </row>
    <row r="282" spans="2:5" ht="15" customHeight="1" x14ac:dyDescent="0.25">
      <c r="B282" s="14"/>
      <c r="C282" s="231" t="s">
        <v>178</v>
      </c>
      <c r="D282" s="232">
        <f ca="1">IFERROR(IF(D280&gt;=D281,D280-D281,0),"")</f>
        <v>104039.2</v>
      </c>
    </row>
    <row r="283" spans="2:5" ht="15" customHeight="1" x14ac:dyDescent="0.25">
      <c r="B283" s="14"/>
      <c r="C283" s="14" t="s">
        <v>653</v>
      </c>
      <c r="D283" s="68">
        <f>IFERROR(IF(D267&lt;&gt;"",ROUND(D267*30,2),""),"")</f>
        <v>15000</v>
      </c>
    </row>
    <row r="284" spans="2:5" ht="15" customHeight="1" x14ac:dyDescent="0.25">
      <c r="B284" s="14"/>
      <c r="C284" s="229" t="s">
        <v>654</v>
      </c>
      <c r="D284" s="230">
        <f ca="1">IFERROR(IF(D282&gt;D283,D282-D283,0),"")</f>
        <v>89039.2</v>
      </c>
    </row>
    <row r="285" spans="2:5" ht="15" customHeight="1" x14ac:dyDescent="0.25">
      <c r="B285" s="14"/>
      <c r="C285" s="14"/>
    </row>
    <row r="286" spans="2:5" ht="15" customHeight="1" x14ac:dyDescent="0.25">
      <c r="B286" s="14"/>
      <c r="C286" s="14"/>
    </row>
    <row r="287" spans="2:5" ht="15" customHeight="1" x14ac:dyDescent="0.25">
      <c r="B287" s="22" t="s">
        <v>49</v>
      </c>
      <c r="C287" s="22" t="s">
        <v>1</v>
      </c>
      <c r="D287" s="22" t="s">
        <v>64</v>
      </c>
      <c r="E287" s="22" t="s">
        <v>65</v>
      </c>
    </row>
    <row r="288" spans="2:5" ht="15" customHeight="1" x14ac:dyDescent="0.25">
      <c r="B288" s="1">
        <v>22</v>
      </c>
      <c r="C288" s="2" t="s">
        <v>18</v>
      </c>
      <c r="D288" s="21" t="str">
        <f ca="1">IFERROR(IF(D277&gt;E288,D277-E288,""),"")</f>
        <v/>
      </c>
      <c r="E288" s="21">
        <f ca="1">IFERROR(IF(E277="Sí",IF(D277&gt;=D281,D281,D277),""),"")</f>
        <v>48000</v>
      </c>
    </row>
    <row r="289" spans="2:10" ht="15" customHeight="1" x14ac:dyDescent="0.25">
      <c r="B289" s="1">
        <v>23</v>
      </c>
      <c r="C289" s="2" t="s">
        <v>19</v>
      </c>
      <c r="D289" s="21">
        <f t="shared" ref="D289" ca="1" si="3">IFERROR(IF(D278&gt;E289,D278-E289,""),"")</f>
        <v>16039.199999999997</v>
      </c>
      <c r="E289" s="21">
        <f ca="1">IFERROR(IF(E278="Sí",IF(D278&gt;=(D281-IF(E288&lt;&gt;"",E288,0)),D281-IF(E288&lt;&gt;"",E288,0),D278),""),"")</f>
        <v>33460.800000000003</v>
      </c>
    </row>
    <row r="290" spans="2:10" ht="15" customHeight="1" thickBot="1" x14ac:dyDescent="0.3">
      <c r="B290" s="1">
        <v>25</v>
      </c>
      <c r="C290" s="205" t="s">
        <v>21</v>
      </c>
      <c r="D290" s="21">
        <f ca="1">IFERROR(IF(E290&lt;&gt;"",D279-E290,D279),"")</f>
        <v>88000</v>
      </c>
      <c r="E290" s="21">
        <f ca="1">IFERROR(IF(E279="Sí",IF(D279&gt;=(D281-IF(E288&lt;&gt;"",E288,0)-IF(E289&lt;&gt;"",E289,0)),D281-IF(E288&lt;&gt;"",E288,0)-IF(E289&lt;&gt;"",E289,0),D279),""),"")</f>
        <v>0</v>
      </c>
    </row>
    <row r="291" spans="2:10" ht="15" customHeight="1" thickBot="1" x14ac:dyDescent="0.3">
      <c r="B291" s="14"/>
      <c r="C291" s="233" t="s">
        <v>655</v>
      </c>
      <c r="D291" s="234">
        <f ca="1">IF(D280&gt;0,D280,"")</f>
        <v>185500</v>
      </c>
    </row>
    <row r="292" spans="2:10" ht="15" customHeight="1" thickBot="1" x14ac:dyDescent="0.3">
      <c r="B292" s="14"/>
      <c r="C292" s="233" t="s">
        <v>656</v>
      </c>
      <c r="D292" s="235">
        <f ca="1">IF(D274&gt;0,D274,"")</f>
        <v>8</v>
      </c>
    </row>
    <row r="293" spans="2:10" ht="15" customHeight="1" thickBot="1" x14ac:dyDescent="0.3">
      <c r="B293" s="14"/>
      <c r="C293" s="233" t="s">
        <v>174</v>
      </c>
      <c r="D293" s="234">
        <f>IF(D283&gt;0,D283,"")</f>
        <v>15000</v>
      </c>
    </row>
    <row r="294" spans="2:10" ht="15" customHeight="1" thickBot="1" x14ac:dyDescent="0.3">
      <c r="B294" s="14"/>
      <c r="C294" s="233" t="s">
        <v>657</v>
      </c>
      <c r="D294" s="234">
        <f ca="1">IF(D282&lt;&gt;"",D282,"")</f>
        <v>104039.2</v>
      </c>
    </row>
    <row r="295" spans="2:10" ht="15" customHeight="1" thickBot="1" x14ac:dyDescent="0.3">
      <c r="B295" s="14"/>
      <c r="C295" s="233" t="s">
        <v>658</v>
      </c>
      <c r="D295" s="234">
        <f ca="1">IF(D284&lt;&gt;"",D284,"")</f>
        <v>89039.2</v>
      </c>
    </row>
    <row r="296" spans="2:10" ht="15" customHeight="1" x14ac:dyDescent="0.25">
      <c r="B296" s="14"/>
      <c r="C296" s="14"/>
    </row>
    <row r="297" spans="2:10" ht="15" customHeight="1" x14ac:dyDescent="0.25">
      <c r="B297" s="5" t="s">
        <v>49</v>
      </c>
      <c r="C297" s="5" t="s">
        <v>1</v>
      </c>
      <c r="D297" s="6" t="s">
        <v>48</v>
      </c>
      <c r="E297" s="162" t="s">
        <v>505</v>
      </c>
      <c r="F297" s="377" t="s">
        <v>506</v>
      </c>
      <c r="G297" s="377"/>
      <c r="H297" s="377"/>
      <c r="I297" s="161" t="s">
        <v>505</v>
      </c>
      <c r="J297" s="163" t="s">
        <v>506</v>
      </c>
    </row>
    <row r="298" spans="2:10" ht="15" customHeight="1" x14ac:dyDescent="0.25">
      <c r="B298" s="1">
        <v>24</v>
      </c>
      <c r="C298" s="2" t="s">
        <v>20</v>
      </c>
      <c r="D298" s="159" t="s">
        <v>50</v>
      </c>
      <c r="E298" s="172">
        <v>88</v>
      </c>
      <c r="F298" s="378" t="s">
        <v>541</v>
      </c>
      <c r="G298" s="378"/>
      <c r="H298" s="378"/>
      <c r="I298" s="172">
        <v>48</v>
      </c>
      <c r="J298" s="173" t="s">
        <v>533</v>
      </c>
    </row>
    <row r="299" spans="2:10" ht="15" customHeight="1" x14ac:dyDescent="0.25">
      <c r="B299" s="14"/>
      <c r="C299" s="14"/>
      <c r="E299" s="8" t="s">
        <v>51</v>
      </c>
      <c r="F299" s="187" t="s">
        <v>52</v>
      </c>
      <c r="G299" s="188" t="s">
        <v>53</v>
      </c>
    </row>
    <row r="300" spans="2:10" ht="15" customHeight="1" x14ac:dyDescent="0.25">
      <c r="B300" s="14"/>
      <c r="C300" s="14"/>
      <c r="E300" s="11" t="s">
        <v>54</v>
      </c>
      <c r="F300" s="11" t="s">
        <v>94</v>
      </c>
      <c r="G300" s="11" t="s">
        <v>94</v>
      </c>
    </row>
    <row r="301" spans="2:10" ht="15" customHeight="1" x14ac:dyDescent="0.25">
      <c r="B301" s="14"/>
      <c r="C301" s="14"/>
      <c r="E301" s="107"/>
      <c r="F301" s="198"/>
      <c r="G301" s="198"/>
    </row>
    <row r="302" spans="2:10" ht="95.25" customHeight="1" x14ac:dyDescent="0.25">
      <c r="B302" s="375" t="s">
        <v>643</v>
      </c>
      <c r="C302" s="376"/>
      <c r="D302" s="376"/>
      <c r="E302" s="376"/>
      <c r="F302" s="376"/>
      <c r="G302" s="376"/>
    </row>
    <row r="303" spans="2:10" ht="131.25" customHeight="1" x14ac:dyDescent="0.25">
      <c r="B303" s="381" t="s">
        <v>612</v>
      </c>
      <c r="C303" s="364"/>
      <c r="D303" s="364"/>
      <c r="E303" s="364"/>
      <c r="F303" s="364"/>
      <c r="G303" s="364"/>
    </row>
    <row r="304" spans="2:10" ht="15" customHeight="1" x14ac:dyDescent="0.25">
      <c r="B304" s="14"/>
      <c r="C304" s="14"/>
      <c r="E304" s="107"/>
      <c r="F304" s="198"/>
      <c r="G304" s="198"/>
    </row>
    <row r="305" spans="2:10" ht="15" customHeight="1" x14ac:dyDescent="0.25">
      <c r="B305" s="22" t="s">
        <v>49</v>
      </c>
      <c r="C305" s="22" t="s">
        <v>1</v>
      </c>
      <c r="D305" s="22" t="s">
        <v>64</v>
      </c>
      <c r="E305" s="22" t="s">
        <v>65</v>
      </c>
      <c r="F305" s="198"/>
      <c r="G305" s="198"/>
    </row>
    <row r="306" spans="2:10" ht="15" customHeight="1" x14ac:dyDescent="0.25">
      <c r="B306" s="1">
        <v>24</v>
      </c>
      <c r="C306" s="2" t="s">
        <v>20</v>
      </c>
      <c r="D306" s="21"/>
      <c r="E306" s="21"/>
      <c r="F306" s="198"/>
      <c r="G306" s="198"/>
    </row>
    <row r="307" spans="2:10" ht="15" customHeight="1" x14ac:dyDescent="0.25">
      <c r="B307" s="14"/>
      <c r="C307" s="14"/>
      <c r="E307" s="107"/>
      <c r="F307" s="198"/>
      <c r="G307" s="198"/>
    </row>
    <row r="308" spans="2:10" ht="15" customHeight="1" x14ac:dyDescent="0.25">
      <c r="B308" s="5" t="s">
        <v>49</v>
      </c>
      <c r="C308" s="5" t="s">
        <v>1</v>
      </c>
      <c r="D308" s="6" t="s">
        <v>48</v>
      </c>
      <c r="E308" s="162" t="s">
        <v>505</v>
      </c>
      <c r="F308" s="377" t="s">
        <v>506</v>
      </c>
      <c r="G308" s="377"/>
      <c r="H308" s="377"/>
      <c r="I308" s="161" t="s">
        <v>505</v>
      </c>
      <c r="J308" s="163" t="s">
        <v>506</v>
      </c>
    </row>
    <row r="309" spans="2:10" ht="26.25" customHeight="1" x14ac:dyDescent="0.25">
      <c r="B309" s="1">
        <v>26</v>
      </c>
      <c r="C309" s="2" t="s">
        <v>22</v>
      </c>
      <c r="D309" s="159" t="s">
        <v>66</v>
      </c>
      <c r="E309" s="236"/>
      <c r="F309" s="411"/>
      <c r="G309" s="411"/>
      <c r="H309" s="411"/>
      <c r="I309" s="177">
        <v>51</v>
      </c>
      <c r="J309" s="173" t="s">
        <v>119</v>
      </c>
    </row>
    <row r="310" spans="2:10" ht="15" customHeight="1" x14ac:dyDescent="0.25">
      <c r="B310" s="14"/>
      <c r="C310" s="14"/>
      <c r="E310" s="8" t="s">
        <v>51</v>
      </c>
      <c r="F310" s="187" t="s">
        <v>52</v>
      </c>
      <c r="G310" s="188" t="s">
        <v>53</v>
      </c>
    </row>
    <row r="311" spans="2:10" ht="15" customHeight="1" x14ac:dyDescent="0.25">
      <c r="B311" s="14"/>
      <c r="C311" s="14"/>
      <c r="E311" s="11" t="s">
        <v>54</v>
      </c>
      <c r="F311" s="11" t="s">
        <v>94</v>
      </c>
      <c r="G311" s="11" t="s">
        <v>94</v>
      </c>
    </row>
    <row r="312" spans="2:10" ht="15" customHeight="1" x14ac:dyDescent="0.25"/>
    <row r="313" spans="2:10" ht="72.75" customHeight="1" x14ac:dyDescent="0.25">
      <c r="B313" s="359" t="s">
        <v>588</v>
      </c>
      <c r="C313" s="359"/>
      <c r="D313" s="359"/>
      <c r="E313" s="359"/>
      <c r="F313" s="359"/>
      <c r="G313" s="359"/>
    </row>
    <row r="314" spans="2:10" ht="48.75" customHeight="1" x14ac:dyDescent="0.25">
      <c r="B314" s="388" t="s">
        <v>600</v>
      </c>
      <c r="C314" s="388"/>
      <c r="D314" s="388"/>
      <c r="E314" s="388"/>
      <c r="F314" s="388"/>
      <c r="G314" s="388"/>
    </row>
    <row r="315" spans="2:10" ht="15" customHeight="1" x14ac:dyDescent="0.25">
      <c r="B315" s="14"/>
      <c r="C315" s="14"/>
      <c r="E315" s="107"/>
      <c r="F315" s="198"/>
      <c r="G315" s="198"/>
    </row>
    <row r="316" spans="2:10" ht="15" customHeight="1" x14ac:dyDescent="0.25">
      <c r="B316" s="22" t="s">
        <v>49</v>
      </c>
      <c r="C316" s="22" t="s">
        <v>1</v>
      </c>
      <c r="D316" s="22" t="s">
        <v>64</v>
      </c>
      <c r="E316" s="22" t="s">
        <v>65</v>
      </c>
      <c r="F316" s="198"/>
      <c r="G316" s="198"/>
    </row>
    <row r="317" spans="2:10" ht="15" customHeight="1" x14ac:dyDescent="0.25">
      <c r="B317" s="1">
        <v>26</v>
      </c>
      <c r="C317" s="2" t="s">
        <v>22</v>
      </c>
      <c r="D317" s="21"/>
      <c r="E317" s="21"/>
      <c r="F317" s="198"/>
      <c r="G317" s="198"/>
    </row>
    <row r="318" spans="2:10" ht="15" customHeight="1" x14ac:dyDescent="0.25">
      <c r="B318" s="14"/>
      <c r="C318" s="14"/>
      <c r="E318" s="107"/>
      <c r="F318" s="198"/>
      <c r="G318" s="198"/>
    </row>
    <row r="319" spans="2:10" ht="15" customHeight="1" x14ac:dyDescent="0.25">
      <c r="B319" s="5" t="s">
        <v>49</v>
      </c>
      <c r="C319" s="5" t="s">
        <v>1</v>
      </c>
      <c r="D319" s="6" t="s">
        <v>48</v>
      </c>
      <c r="E319" s="162" t="s">
        <v>505</v>
      </c>
      <c r="F319" s="377" t="s">
        <v>506</v>
      </c>
      <c r="G319" s="377"/>
      <c r="H319" s="377"/>
      <c r="I319" s="161" t="s">
        <v>505</v>
      </c>
      <c r="J319" s="163" t="s">
        <v>506</v>
      </c>
    </row>
    <row r="320" spans="2:10" ht="35.25" customHeight="1" x14ac:dyDescent="0.25">
      <c r="B320" s="1">
        <v>27</v>
      </c>
      <c r="C320" s="2" t="s">
        <v>23</v>
      </c>
      <c r="D320" s="159" t="s">
        <v>50</v>
      </c>
      <c r="E320" s="236"/>
      <c r="F320" s="411"/>
      <c r="G320" s="411"/>
      <c r="H320" s="411"/>
      <c r="I320" s="172">
        <v>52</v>
      </c>
      <c r="J320" s="173" t="s">
        <v>170</v>
      </c>
    </row>
    <row r="321" spans="2:10" ht="15" customHeight="1" x14ac:dyDescent="0.25">
      <c r="B321" s="14"/>
      <c r="C321" s="14"/>
      <c r="E321" s="8" t="s">
        <v>51</v>
      </c>
      <c r="F321" s="187" t="s">
        <v>52</v>
      </c>
      <c r="G321" s="188" t="s">
        <v>53</v>
      </c>
    </row>
    <row r="322" spans="2:10" ht="15" customHeight="1" x14ac:dyDescent="0.25">
      <c r="B322" s="14"/>
      <c r="C322" s="14"/>
      <c r="E322" s="11" t="s">
        <v>54</v>
      </c>
      <c r="F322" s="11" t="s">
        <v>94</v>
      </c>
      <c r="G322" s="11" t="s">
        <v>94</v>
      </c>
    </row>
    <row r="323" spans="2:10" ht="15" customHeight="1" x14ac:dyDescent="0.25">
      <c r="B323" s="14"/>
      <c r="C323" s="14"/>
      <c r="E323" s="107"/>
      <c r="F323" s="198"/>
      <c r="G323" s="198"/>
    </row>
    <row r="324" spans="2:10" ht="69" customHeight="1" x14ac:dyDescent="0.25">
      <c r="B324" s="359" t="s">
        <v>157</v>
      </c>
      <c r="C324" s="359"/>
      <c r="D324" s="359"/>
      <c r="E324" s="359"/>
      <c r="F324" s="359"/>
      <c r="G324" s="359"/>
    </row>
    <row r="325" spans="2:10" ht="150" customHeight="1" x14ac:dyDescent="0.25">
      <c r="B325" s="375" t="s">
        <v>659</v>
      </c>
      <c r="C325" s="376"/>
      <c r="D325" s="376"/>
      <c r="E325" s="376"/>
      <c r="F325" s="376"/>
      <c r="G325" s="376"/>
    </row>
    <row r="326" spans="2:10" ht="15" customHeight="1" x14ac:dyDescent="0.25">
      <c r="B326" s="14"/>
      <c r="C326" s="14"/>
      <c r="E326" s="107"/>
      <c r="F326" s="198"/>
      <c r="G326" s="198"/>
    </row>
    <row r="327" spans="2:10" ht="15" customHeight="1" x14ac:dyDescent="0.25">
      <c r="B327" s="22" t="s">
        <v>49</v>
      </c>
      <c r="C327" s="22" t="s">
        <v>1</v>
      </c>
      <c r="D327" s="22" t="s">
        <v>64</v>
      </c>
      <c r="E327" s="22" t="s">
        <v>65</v>
      </c>
      <c r="F327" s="198"/>
      <c r="G327" s="198"/>
    </row>
    <row r="328" spans="2:10" ht="15" customHeight="1" x14ac:dyDescent="0.25">
      <c r="B328" s="1">
        <v>27</v>
      </c>
      <c r="C328" s="2" t="s">
        <v>23</v>
      </c>
      <c r="D328" s="237"/>
      <c r="E328" s="21"/>
      <c r="F328" s="198"/>
      <c r="G328" s="198"/>
    </row>
    <row r="329" spans="2:10" ht="15" customHeight="1" x14ac:dyDescent="0.25">
      <c r="B329" s="14"/>
      <c r="C329" s="14"/>
      <c r="E329" s="107"/>
      <c r="F329" s="198"/>
      <c r="G329" s="198"/>
    </row>
    <row r="330" spans="2:10" ht="15" customHeight="1" x14ac:dyDescent="0.25">
      <c r="B330" s="5" t="s">
        <v>49</v>
      </c>
      <c r="C330" s="5" t="s">
        <v>1</v>
      </c>
      <c r="D330" s="6" t="s">
        <v>48</v>
      </c>
      <c r="E330" s="162" t="s">
        <v>505</v>
      </c>
      <c r="F330" s="377" t="s">
        <v>506</v>
      </c>
      <c r="G330" s="377"/>
      <c r="H330" s="377"/>
      <c r="I330" s="161" t="s">
        <v>505</v>
      </c>
      <c r="J330" s="163" t="s">
        <v>506</v>
      </c>
    </row>
    <row r="331" spans="2:10" ht="15" customHeight="1" x14ac:dyDescent="0.25">
      <c r="B331" s="1">
        <v>28</v>
      </c>
      <c r="C331" s="2" t="s">
        <v>24</v>
      </c>
      <c r="D331" s="159" t="s">
        <v>66</v>
      </c>
      <c r="E331" s="172">
        <v>53</v>
      </c>
      <c r="F331" s="378" t="s">
        <v>165</v>
      </c>
      <c r="G331" s="378"/>
      <c r="H331" s="378"/>
      <c r="I331" s="236"/>
      <c r="J331" s="238"/>
    </row>
    <row r="332" spans="2:10" ht="15" customHeight="1" x14ac:dyDescent="0.25">
      <c r="B332" s="14"/>
      <c r="C332" s="14"/>
      <c r="E332" s="8" t="s">
        <v>51</v>
      </c>
      <c r="F332" s="187" t="s">
        <v>52</v>
      </c>
      <c r="G332" s="188" t="s">
        <v>53</v>
      </c>
    </row>
    <row r="333" spans="2:10" ht="15" customHeight="1" x14ac:dyDescent="0.25">
      <c r="B333" s="14"/>
      <c r="C333" s="14"/>
      <c r="E333" s="11" t="s">
        <v>54</v>
      </c>
      <c r="F333" s="11" t="s">
        <v>54</v>
      </c>
      <c r="G333" s="11" t="s">
        <v>54</v>
      </c>
    </row>
    <row r="334" spans="2:10" ht="15" customHeight="1" x14ac:dyDescent="0.25">
      <c r="B334" s="14"/>
      <c r="C334" s="14"/>
      <c r="E334" s="107"/>
      <c r="F334" s="107"/>
      <c r="G334" s="107"/>
    </row>
    <row r="335" spans="2:10" ht="98.25" customHeight="1" x14ac:dyDescent="0.25">
      <c r="B335" s="413" t="s">
        <v>660</v>
      </c>
      <c r="C335" s="414"/>
      <c r="D335" s="414"/>
      <c r="E335" s="414"/>
      <c r="F335" s="414"/>
      <c r="G335" s="414"/>
    </row>
    <row r="336" spans="2:10" ht="15" customHeight="1" x14ac:dyDescent="0.25">
      <c r="B336" s="14"/>
      <c r="C336" s="14"/>
      <c r="E336" s="107"/>
      <c r="F336" s="198"/>
      <c r="G336" s="198"/>
    </row>
    <row r="337" spans="2:10" ht="15" customHeight="1" x14ac:dyDescent="0.25">
      <c r="B337" s="22" t="s">
        <v>49</v>
      </c>
      <c r="C337" s="22" t="s">
        <v>1</v>
      </c>
      <c r="D337" s="22" t="s">
        <v>64</v>
      </c>
      <c r="E337" s="22" t="s">
        <v>65</v>
      </c>
      <c r="F337" s="198"/>
      <c r="G337" s="198"/>
    </row>
    <row r="338" spans="2:10" ht="15" customHeight="1" x14ac:dyDescent="0.25">
      <c r="B338" s="1">
        <v>28</v>
      </c>
      <c r="C338" s="2" t="s">
        <v>24</v>
      </c>
      <c r="D338" s="4"/>
      <c r="E338" s="237"/>
      <c r="F338" s="198"/>
      <c r="G338" s="198"/>
    </row>
    <row r="339" spans="2:10" ht="15" customHeight="1" x14ac:dyDescent="0.25">
      <c r="B339" s="14"/>
      <c r="C339" s="14"/>
      <c r="E339" s="107"/>
      <c r="F339" s="198"/>
      <c r="G339" s="198"/>
    </row>
    <row r="340" spans="2:10" ht="15" customHeight="1" x14ac:dyDescent="0.25">
      <c r="B340" s="5" t="s">
        <v>49</v>
      </c>
      <c r="C340" s="5" t="s">
        <v>1</v>
      </c>
      <c r="D340" s="6" t="s">
        <v>48</v>
      </c>
      <c r="E340" s="162" t="s">
        <v>505</v>
      </c>
      <c r="F340" s="377" t="s">
        <v>506</v>
      </c>
      <c r="G340" s="377"/>
      <c r="H340" s="377"/>
      <c r="I340" s="161" t="s">
        <v>505</v>
      </c>
      <c r="J340" s="163" t="s">
        <v>506</v>
      </c>
    </row>
    <row r="341" spans="2:10" ht="15" customHeight="1" x14ac:dyDescent="0.25">
      <c r="B341" s="1">
        <v>29</v>
      </c>
      <c r="C341" s="2" t="s">
        <v>25</v>
      </c>
      <c r="D341" s="159" t="s">
        <v>50</v>
      </c>
      <c r="E341" s="172">
        <v>89</v>
      </c>
      <c r="F341" s="378" t="s">
        <v>121</v>
      </c>
      <c r="G341" s="378"/>
      <c r="H341" s="378"/>
      <c r="I341" s="177">
        <v>54</v>
      </c>
      <c r="J341" s="184" t="s">
        <v>120</v>
      </c>
    </row>
    <row r="342" spans="2:10" ht="15" customHeight="1" x14ac:dyDescent="0.25">
      <c r="B342" s="1">
        <v>30</v>
      </c>
      <c r="C342" s="2" t="s">
        <v>26</v>
      </c>
      <c r="D342" s="159" t="s">
        <v>50</v>
      </c>
      <c r="E342" s="172">
        <v>90</v>
      </c>
      <c r="F342" s="378" t="s">
        <v>123</v>
      </c>
      <c r="G342" s="378"/>
      <c r="H342" s="378"/>
      <c r="I342" s="177">
        <v>55</v>
      </c>
      <c r="J342" s="184" t="s">
        <v>122</v>
      </c>
    </row>
    <row r="343" spans="2:10" ht="15" customHeight="1" x14ac:dyDescent="0.25">
      <c r="B343" s="1">
        <v>31</v>
      </c>
      <c r="C343" s="2" t="s">
        <v>27</v>
      </c>
      <c r="D343" s="159" t="s">
        <v>50</v>
      </c>
      <c r="E343" s="172">
        <v>91</v>
      </c>
      <c r="F343" s="378" t="s">
        <v>125</v>
      </c>
      <c r="G343" s="378"/>
      <c r="H343" s="378"/>
      <c r="I343" s="177">
        <v>56</v>
      </c>
      <c r="J343" s="184" t="s">
        <v>124</v>
      </c>
    </row>
    <row r="344" spans="2:10" ht="15" customHeight="1" x14ac:dyDescent="0.25">
      <c r="B344" s="1">
        <v>32</v>
      </c>
      <c r="C344" s="2" t="s">
        <v>28</v>
      </c>
      <c r="D344" s="159" t="s">
        <v>50</v>
      </c>
      <c r="E344" s="172">
        <v>92</v>
      </c>
      <c r="F344" s="378" t="s">
        <v>127</v>
      </c>
      <c r="G344" s="378"/>
      <c r="H344" s="378"/>
      <c r="I344" s="177">
        <v>57</v>
      </c>
      <c r="J344" s="184" t="s">
        <v>126</v>
      </c>
    </row>
    <row r="345" spans="2:10" ht="15" customHeight="1" x14ac:dyDescent="0.25">
      <c r="B345" s="1">
        <v>33</v>
      </c>
      <c r="C345" s="2" t="s">
        <v>29</v>
      </c>
      <c r="D345" s="159" t="s">
        <v>50</v>
      </c>
      <c r="E345" s="172">
        <v>93</v>
      </c>
      <c r="F345" s="378" t="s">
        <v>129</v>
      </c>
      <c r="G345" s="378"/>
      <c r="H345" s="378"/>
      <c r="I345" s="177">
        <v>58</v>
      </c>
      <c r="J345" s="184" t="s">
        <v>128</v>
      </c>
    </row>
    <row r="346" spans="2:10" ht="26.25" customHeight="1" x14ac:dyDescent="0.25">
      <c r="B346" s="1">
        <v>34</v>
      </c>
      <c r="C346" s="2" t="s">
        <v>30</v>
      </c>
      <c r="D346" s="159" t="s">
        <v>50</v>
      </c>
      <c r="E346" s="172">
        <v>94</v>
      </c>
      <c r="F346" s="378" t="s">
        <v>131</v>
      </c>
      <c r="G346" s="378"/>
      <c r="H346" s="378"/>
      <c r="I346" s="177">
        <v>59</v>
      </c>
      <c r="J346" s="184" t="s">
        <v>130</v>
      </c>
    </row>
    <row r="347" spans="2:10" ht="15" customHeight="1" x14ac:dyDescent="0.25">
      <c r="B347" s="1">
        <v>35</v>
      </c>
      <c r="C347" s="2" t="s">
        <v>31</v>
      </c>
      <c r="D347" s="159" t="s">
        <v>50</v>
      </c>
      <c r="E347" s="172">
        <v>95</v>
      </c>
      <c r="F347" s="378" t="s">
        <v>242</v>
      </c>
      <c r="G347" s="378"/>
      <c r="H347" s="378"/>
      <c r="I347" s="177">
        <v>60</v>
      </c>
      <c r="J347" s="184" t="s">
        <v>241</v>
      </c>
    </row>
    <row r="348" spans="2:10" ht="30" customHeight="1" x14ac:dyDescent="0.25">
      <c r="B348" s="1">
        <v>36</v>
      </c>
      <c r="C348" s="2" t="s">
        <v>32</v>
      </c>
      <c r="D348" s="159" t="s">
        <v>50</v>
      </c>
      <c r="E348" s="172">
        <v>96</v>
      </c>
      <c r="F348" s="378" t="s">
        <v>133</v>
      </c>
      <c r="G348" s="378"/>
      <c r="H348" s="378"/>
      <c r="I348" s="177">
        <v>61</v>
      </c>
      <c r="J348" s="184" t="s">
        <v>132</v>
      </c>
    </row>
    <row r="349" spans="2:10" ht="30" customHeight="1" x14ac:dyDescent="0.25">
      <c r="B349" s="1">
        <v>37</v>
      </c>
      <c r="C349" s="2" t="s">
        <v>33</v>
      </c>
      <c r="D349" s="159" t="s">
        <v>50</v>
      </c>
      <c r="E349" s="172">
        <v>97</v>
      </c>
      <c r="F349" s="378" t="s">
        <v>135</v>
      </c>
      <c r="G349" s="378"/>
      <c r="H349" s="378"/>
      <c r="I349" s="177">
        <v>62</v>
      </c>
      <c r="J349" s="184" t="s">
        <v>134</v>
      </c>
    </row>
    <row r="350" spans="2:10" ht="31.5" customHeight="1" x14ac:dyDescent="0.25">
      <c r="B350" s="1" t="s">
        <v>40</v>
      </c>
      <c r="C350" s="3" t="s">
        <v>579</v>
      </c>
      <c r="D350" s="159" t="s">
        <v>50</v>
      </c>
      <c r="E350" s="177">
        <v>75</v>
      </c>
      <c r="F350" s="378" t="s">
        <v>139</v>
      </c>
      <c r="G350" s="378"/>
      <c r="H350" s="378"/>
      <c r="I350" s="177">
        <v>74</v>
      </c>
      <c r="J350" s="67" t="s">
        <v>138</v>
      </c>
    </row>
    <row r="351" spans="2:10" ht="15" customHeight="1" x14ac:dyDescent="0.25">
      <c r="B351" s="1">
        <v>48</v>
      </c>
      <c r="C351" s="3" t="s">
        <v>42</v>
      </c>
      <c r="D351" s="159" t="s">
        <v>50</v>
      </c>
      <c r="E351" s="177">
        <v>77</v>
      </c>
      <c r="F351" s="378" t="s">
        <v>141</v>
      </c>
      <c r="G351" s="378"/>
      <c r="H351" s="378"/>
      <c r="I351" s="177">
        <v>76</v>
      </c>
      <c r="J351" s="67" t="s">
        <v>140</v>
      </c>
    </row>
    <row r="352" spans="2:10" ht="15" customHeight="1" x14ac:dyDescent="0.25">
      <c r="E352" s="8" t="s">
        <v>51</v>
      </c>
      <c r="F352" s="187" t="s">
        <v>52</v>
      </c>
      <c r="G352" s="188" t="s">
        <v>53</v>
      </c>
    </row>
    <row r="353" spans="2:7" ht="15" customHeight="1" x14ac:dyDescent="0.25">
      <c r="E353" s="11" t="s">
        <v>54</v>
      </c>
      <c r="F353" s="11" t="s">
        <v>54</v>
      </c>
      <c r="G353" s="11" t="s">
        <v>54</v>
      </c>
    </row>
    <row r="354" spans="2:7" ht="15" customHeight="1" x14ac:dyDescent="0.25">
      <c r="E354" s="107"/>
      <c r="F354" s="198"/>
      <c r="G354" s="198"/>
    </row>
    <row r="355" spans="2:7" ht="141" customHeight="1" x14ac:dyDescent="0.25">
      <c r="B355" s="375" t="s">
        <v>661</v>
      </c>
      <c r="C355" s="376"/>
      <c r="D355" s="376"/>
      <c r="E355" s="376"/>
      <c r="F355" s="376"/>
      <c r="G355" s="376"/>
    </row>
    <row r="356" spans="2:7" ht="113.25" customHeight="1" x14ac:dyDescent="0.25">
      <c r="B356" s="381" t="s">
        <v>612</v>
      </c>
      <c r="C356" s="364"/>
      <c r="D356" s="364"/>
      <c r="E356" s="364"/>
      <c r="F356" s="364"/>
      <c r="G356" s="364"/>
    </row>
    <row r="357" spans="2:7" ht="15" customHeight="1" x14ac:dyDescent="0.25">
      <c r="B357" s="14"/>
      <c r="C357" s="14"/>
      <c r="E357" s="107"/>
      <c r="F357" s="198"/>
      <c r="G357" s="198"/>
    </row>
    <row r="358" spans="2:7" ht="15" customHeight="1" x14ac:dyDescent="0.25">
      <c r="B358" s="22" t="s">
        <v>49</v>
      </c>
      <c r="C358" s="22" t="s">
        <v>1</v>
      </c>
      <c r="D358" s="22" t="s">
        <v>64</v>
      </c>
      <c r="E358" s="22" t="s">
        <v>65</v>
      </c>
      <c r="F358" s="198"/>
      <c r="G358" s="198"/>
    </row>
    <row r="359" spans="2:7" ht="15" customHeight="1" x14ac:dyDescent="0.25">
      <c r="B359" s="1">
        <v>29</v>
      </c>
      <c r="C359" s="2" t="s">
        <v>25</v>
      </c>
      <c r="D359" s="4"/>
      <c r="E359" s="11"/>
      <c r="F359" s="198"/>
      <c r="G359" s="198"/>
    </row>
    <row r="360" spans="2:7" ht="15" customHeight="1" x14ac:dyDescent="0.25">
      <c r="B360" s="1">
        <v>30</v>
      </c>
      <c r="C360" s="2" t="s">
        <v>26</v>
      </c>
      <c r="D360" s="4"/>
      <c r="E360" s="11"/>
      <c r="F360" s="198"/>
      <c r="G360" s="198"/>
    </row>
    <row r="361" spans="2:7" ht="15" customHeight="1" x14ac:dyDescent="0.25">
      <c r="B361" s="1">
        <v>31</v>
      </c>
      <c r="C361" s="2" t="s">
        <v>27</v>
      </c>
      <c r="D361" s="4"/>
      <c r="E361" s="11"/>
      <c r="F361" s="198"/>
      <c r="G361" s="198"/>
    </row>
    <row r="362" spans="2:7" ht="15" customHeight="1" x14ac:dyDescent="0.25">
      <c r="B362" s="1">
        <v>32</v>
      </c>
      <c r="C362" s="2" t="s">
        <v>28</v>
      </c>
      <c r="D362" s="4"/>
      <c r="E362" s="11"/>
      <c r="F362" s="198"/>
      <c r="G362" s="198"/>
    </row>
    <row r="363" spans="2:7" ht="15" customHeight="1" x14ac:dyDescent="0.25">
      <c r="B363" s="1">
        <v>33</v>
      </c>
      <c r="C363" s="2" t="s">
        <v>29</v>
      </c>
      <c r="D363" s="4"/>
      <c r="E363" s="11"/>
      <c r="F363" s="198"/>
      <c r="G363" s="198"/>
    </row>
    <row r="364" spans="2:7" ht="15" customHeight="1" x14ac:dyDescent="0.25">
      <c r="B364" s="1">
        <v>34</v>
      </c>
      <c r="C364" s="2" t="s">
        <v>30</v>
      </c>
      <c r="D364" s="4"/>
      <c r="E364" s="11"/>
      <c r="F364" s="198"/>
      <c r="G364" s="198"/>
    </row>
    <row r="365" spans="2:7" ht="15" customHeight="1" x14ac:dyDescent="0.25">
      <c r="B365" s="1">
        <v>35</v>
      </c>
      <c r="C365" s="2" t="s">
        <v>31</v>
      </c>
      <c r="D365" s="4"/>
      <c r="E365" s="11"/>
      <c r="F365" s="198"/>
      <c r="G365" s="198"/>
    </row>
    <row r="366" spans="2:7" ht="15" customHeight="1" x14ac:dyDescent="0.25">
      <c r="B366" s="1">
        <v>36</v>
      </c>
      <c r="C366" s="2" t="s">
        <v>32</v>
      </c>
      <c r="D366" s="4"/>
      <c r="E366" s="11"/>
      <c r="F366" s="198"/>
      <c r="G366" s="198"/>
    </row>
    <row r="367" spans="2:7" ht="15" customHeight="1" x14ac:dyDescent="0.25">
      <c r="B367" s="1">
        <v>37</v>
      </c>
      <c r="C367" s="2" t="s">
        <v>33</v>
      </c>
      <c r="D367" s="4"/>
      <c r="E367" s="11"/>
      <c r="F367" s="198"/>
      <c r="G367" s="198"/>
    </row>
    <row r="368" spans="2:7" ht="28.5" customHeight="1" x14ac:dyDescent="0.25">
      <c r="B368" s="1" t="s">
        <v>40</v>
      </c>
      <c r="C368" s="3" t="s">
        <v>579</v>
      </c>
      <c r="D368" s="4"/>
      <c r="E368" s="11"/>
      <c r="F368" s="198"/>
      <c r="G368" s="198"/>
    </row>
    <row r="369" spans="2:10" ht="15" customHeight="1" x14ac:dyDescent="0.25">
      <c r="B369" s="1">
        <v>48</v>
      </c>
      <c r="C369" s="3" t="s">
        <v>42</v>
      </c>
      <c r="D369" s="4"/>
      <c r="E369" s="11"/>
      <c r="F369" s="198"/>
      <c r="G369" s="198"/>
    </row>
    <row r="370" spans="2:10" ht="15" customHeight="1" x14ac:dyDescent="0.25">
      <c r="B370" s="14"/>
      <c r="C370" s="14"/>
      <c r="E370" s="107"/>
      <c r="F370" s="198"/>
      <c r="G370" s="198"/>
    </row>
    <row r="371" spans="2:10" ht="15" customHeight="1" x14ac:dyDescent="0.25">
      <c r="B371" s="14"/>
      <c r="C371" s="14"/>
      <c r="E371" s="374" t="s">
        <v>504</v>
      </c>
      <c r="F371" s="374"/>
      <c r="G371" s="374"/>
      <c r="H371" s="374"/>
      <c r="I371" s="374"/>
      <c r="J371" s="374"/>
    </row>
    <row r="372" spans="2:10" ht="15" customHeight="1" x14ac:dyDescent="0.25">
      <c r="B372" s="5" t="s">
        <v>49</v>
      </c>
      <c r="C372" s="5" t="s">
        <v>1</v>
      </c>
      <c r="D372" s="6" t="s">
        <v>48</v>
      </c>
      <c r="E372" s="162" t="s">
        <v>505</v>
      </c>
      <c r="F372" s="377" t="s">
        <v>506</v>
      </c>
      <c r="G372" s="377"/>
      <c r="H372" s="377"/>
      <c r="I372" s="161" t="s">
        <v>505</v>
      </c>
      <c r="J372" s="163" t="s">
        <v>506</v>
      </c>
    </row>
    <row r="373" spans="2:10" ht="30" customHeight="1" x14ac:dyDescent="0.25">
      <c r="B373" s="1">
        <v>38</v>
      </c>
      <c r="C373" s="2" t="s">
        <v>34</v>
      </c>
      <c r="D373" s="159" t="s">
        <v>66</v>
      </c>
      <c r="E373" s="177">
        <v>64</v>
      </c>
      <c r="F373" s="372" t="s">
        <v>137</v>
      </c>
      <c r="G373" s="372"/>
      <c r="H373" s="372"/>
      <c r="I373" s="177">
        <v>63</v>
      </c>
      <c r="J373" s="173" t="s">
        <v>136</v>
      </c>
    </row>
    <row r="374" spans="2:10" ht="22.5" customHeight="1" x14ac:dyDescent="0.25">
      <c r="B374" s="71"/>
      <c r="C374" s="35"/>
      <c r="D374" s="48"/>
      <c r="E374" s="8" t="s">
        <v>51</v>
      </c>
      <c r="F374" s="187" t="s">
        <v>52</v>
      </c>
      <c r="G374" s="188" t="s">
        <v>53</v>
      </c>
      <c r="H374" s="240"/>
      <c r="I374" s="239"/>
      <c r="J374" s="241"/>
    </row>
    <row r="375" spans="2:10" ht="18" customHeight="1" x14ac:dyDescent="0.25">
      <c r="B375" s="71"/>
      <c r="C375" s="35"/>
      <c r="D375" s="48"/>
      <c r="E375" s="11" t="s">
        <v>54</v>
      </c>
      <c r="F375" s="11" t="s">
        <v>54</v>
      </c>
      <c r="G375" s="11" t="s">
        <v>54</v>
      </c>
      <c r="H375" s="240"/>
      <c r="I375" s="239"/>
      <c r="J375" s="241"/>
    </row>
    <row r="376" spans="2:10" ht="15" customHeight="1" x14ac:dyDescent="0.25">
      <c r="B376" s="14"/>
      <c r="C376" s="14"/>
    </row>
    <row r="377" spans="2:10" ht="15" customHeight="1" x14ac:dyDescent="0.25">
      <c r="B377" s="22" t="s">
        <v>49</v>
      </c>
      <c r="C377" s="22" t="s">
        <v>1</v>
      </c>
      <c r="D377" s="22" t="s">
        <v>64</v>
      </c>
      <c r="E377" s="22" t="s">
        <v>65</v>
      </c>
    </row>
    <row r="378" spans="2:10" ht="15" customHeight="1" x14ac:dyDescent="0.25">
      <c r="B378" s="1">
        <v>38</v>
      </c>
      <c r="C378" s="2" t="s">
        <v>34</v>
      </c>
      <c r="D378" s="4"/>
      <c r="E378" s="237"/>
    </row>
    <row r="379" spans="2:10" ht="15" customHeight="1" x14ac:dyDescent="0.25">
      <c r="B379" s="14"/>
      <c r="C379" s="14"/>
    </row>
    <row r="380" spans="2:10" ht="15" customHeight="1" x14ac:dyDescent="0.25">
      <c r="B380" s="14"/>
      <c r="C380" s="14"/>
      <c r="E380" s="374" t="s">
        <v>504</v>
      </c>
      <c r="F380" s="374"/>
      <c r="G380" s="374"/>
      <c r="H380" s="374"/>
      <c r="I380" s="374"/>
      <c r="J380" s="374"/>
    </row>
    <row r="381" spans="2:10" ht="15" customHeight="1" x14ac:dyDescent="0.25">
      <c r="B381" s="5" t="s">
        <v>49</v>
      </c>
      <c r="C381" s="5" t="s">
        <v>1</v>
      </c>
      <c r="D381" s="6" t="s">
        <v>48</v>
      </c>
      <c r="E381" s="162" t="s">
        <v>505</v>
      </c>
      <c r="F381" s="377" t="s">
        <v>506</v>
      </c>
      <c r="G381" s="377"/>
      <c r="H381" s="377"/>
      <c r="I381" s="161" t="s">
        <v>505</v>
      </c>
      <c r="J381" s="163" t="s">
        <v>506</v>
      </c>
    </row>
    <row r="382" spans="2:10" ht="15" customHeight="1" x14ac:dyDescent="0.25">
      <c r="B382" s="1">
        <v>50</v>
      </c>
      <c r="C382" s="3" t="s">
        <v>44</v>
      </c>
      <c r="D382" s="159" t="s">
        <v>66</v>
      </c>
      <c r="E382" s="177">
        <v>80</v>
      </c>
      <c r="F382" s="415" t="s">
        <v>171</v>
      </c>
      <c r="G382" s="416"/>
      <c r="H382" s="417"/>
      <c r="I382" s="178">
        <v>100</v>
      </c>
      <c r="J382" s="173" t="s">
        <v>172</v>
      </c>
    </row>
    <row r="383" spans="2:10" ht="15" customHeight="1" x14ac:dyDescent="0.25">
      <c r="B383" s="71"/>
      <c r="C383" s="35"/>
      <c r="D383" s="48"/>
      <c r="E383" s="8" t="s">
        <v>51</v>
      </c>
      <c r="F383" s="187" t="s">
        <v>52</v>
      </c>
      <c r="G383" s="188" t="s">
        <v>53</v>
      </c>
      <c r="H383" s="240"/>
      <c r="I383" s="239"/>
      <c r="J383" s="241"/>
    </row>
    <row r="384" spans="2:10" ht="15" customHeight="1" x14ac:dyDescent="0.25">
      <c r="B384" s="71"/>
      <c r="C384" s="35"/>
      <c r="D384" s="48"/>
      <c r="E384" s="11" t="s">
        <v>94</v>
      </c>
      <c r="F384" s="11" t="s">
        <v>94</v>
      </c>
      <c r="G384" s="11" t="s">
        <v>94</v>
      </c>
      <c r="H384" s="240"/>
      <c r="I384" s="239"/>
      <c r="J384" s="241"/>
    </row>
    <row r="385" spans="2:10" ht="15" customHeight="1" x14ac:dyDescent="0.25">
      <c r="B385" s="71"/>
      <c r="C385" s="35"/>
      <c r="D385" s="48"/>
      <c r="E385" s="107"/>
      <c r="F385" s="107"/>
      <c r="G385" s="107"/>
      <c r="H385" s="240"/>
      <c r="I385" s="239"/>
      <c r="J385" s="241"/>
    </row>
    <row r="386" spans="2:10" ht="249" customHeight="1" x14ac:dyDescent="0.25">
      <c r="B386" s="381" t="s">
        <v>662</v>
      </c>
      <c r="C386" s="364"/>
      <c r="D386" s="364"/>
      <c r="E386" s="364"/>
      <c r="F386" s="364"/>
      <c r="G386" s="364"/>
      <c r="H386" s="240"/>
      <c r="I386" s="239"/>
      <c r="J386" s="241"/>
    </row>
    <row r="387" spans="2:10" ht="15" customHeight="1" x14ac:dyDescent="0.25">
      <c r="B387" s="14"/>
      <c r="C387" s="14"/>
    </row>
    <row r="388" spans="2:10" ht="15" customHeight="1" x14ac:dyDescent="0.25">
      <c r="B388" s="22" t="s">
        <v>49</v>
      </c>
      <c r="C388" s="22" t="s">
        <v>1</v>
      </c>
      <c r="D388" s="22" t="s">
        <v>64</v>
      </c>
      <c r="E388" s="22" t="s">
        <v>65</v>
      </c>
    </row>
    <row r="389" spans="2:10" ht="15" customHeight="1" x14ac:dyDescent="0.25">
      <c r="B389" s="1">
        <v>50</v>
      </c>
      <c r="C389" s="3" t="s">
        <v>44</v>
      </c>
      <c r="D389" s="4"/>
      <c r="E389" s="21"/>
    </row>
    <row r="390" spans="2:10" ht="15" customHeight="1" x14ac:dyDescent="0.25">
      <c r="B390" s="71"/>
      <c r="C390" s="35"/>
    </row>
    <row r="391" spans="2:10" ht="15" customHeight="1" x14ac:dyDescent="0.25">
      <c r="B391" s="14"/>
      <c r="C391" s="14"/>
      <c r="E391" s="374" t="s">
        <v>504</v>
      </c>
      <c r="F391" s="374"/>
      <c r="G391" s="374"/>
      <c r="H391" s="374"/>
      <c r="I391" s="374"/>
      <c r="J391" s="374"/>
    </row>
    <row r="392" spans="2:10" ht="15" customHeight="1" x14ac:dyDescent="0.25">
      <c r="B392" s="5" t="s">
        <v>49</v>
      </c>
      <c r="C392" s="5" t="s">
        <v>1</v>
      </c>
      <c r="D392" s="6" t="s">
        <v>48</v>
      </c>
      <c r="E392" s="162" t="s">
        <v>505</v>
      </c>
      <c r="F392" s="377" t="s">
        <v>506</v>
      </c>
      <c r="G392" s="377"/>
      <c r="H392" s="377"/>
      <c r="I392" s="161" t="s">
        <v>505</v>
      </c>
      <c r="J392" s="163" t="s">
        <v>506</v>
      </c>
    </row>
    <row r="393" spans="2:10" ht="26.25" customHeight="1" x14ac:dyDescent="0.25">
      <c r="B393" s="1">
        <v>54</v>
      </c>
      <c r="C393" s="2" t="s">
        <v>509</v>
      </c>
      <c r="D393" s="159" t="s">
        <v>66</v>
      </c>
      <c r="E393" s="177">
        <v>108</v>
      </c>
      <c r="F393" s="372" t="s">
        <v>510</v>
      </c>
      <c r="G393" s="372"/>
      <c r="H393" s="372"/>
      <c r="I393" s="177">
        <v>109</v>
      </c>
      <c r="J393" s="184" t="s">
        <v>511</v>
      </c>
    </row>
    <row r="394" spans="2:10" ht="33" customHeight="1" x14ac:dyDescent="0.25">
      <c r="B394" s="1">
        <v>55</v>
      </c>
      <c r="C394" s="242" t="s">
        <v>580</v>
      </c>
      <c r="D394" s="159" t="s">
        <v>66</v>
      </c>
      <c r="E394" s="179">
        <v>110</v>
      </c>
      <c r="F394" s="372" t="s">
        <v>582</v>
      </c>
      <c r="G394" s="372"/>
      <c r="H394" s="372"/>
      <c r="I394" s="179">
        <v>111</v>
      </c>
      <c r="J394" s="182" t="s">
        <v>583</v>
      </c>
    </row>
    <row r="395" spans="2:10" ht="15" customHeight="1" x14ac:dyDescent="0.25">
      <c r="B395" s="14"/>
      <c r="C395" s="14"/>
      <c r="E395" s="8" t="s">
        <v>51</v>
      </c>
      <c r="F395" s="9" t="s">
        <v>52</v>
      </c>
      <c r="G395" s="10" t="s">
        <v>53</v>
      </c>
    </row>
    <row r="396" spans="2:10" ht="15" customHeight="1" x14ac:dyDescent="0.25">
      <c r="E396" s="11" t="s">
        <v>54</v>
      </c>
      <c r="F396" s="11" t="s">
        <v>54</v>
      </c>
      <c r="G396" s="11" t="s">
        <v>54</v>
      </c>
    </row>
    <row r="397" spans="2:10" ht="15" customHeight="1" x14ac:dyDescent="0.25">
      <c r="E397" s="107"/>
      <c r="F397" s="107"/>
      <c r="G397" s="107"/>
    </row>
    <row r="398" spans="2:10" ht="129" customHeight="1" x14ac:dyDescent="0.25">
      <c r="B398" s="381" t="s">
        <v>617</v>
      </c>
      <c r="C398" s="364"/>
      <c r="D398" s="364"/>
      <c r="E398" s="364"/>
      <c r="F398" s="364"/>
      <c r="G398" s="364"/>
    </row>
    <row r="399" spans="2:10" ht="225" customHeight="1" x14ac:dyDescent="0.25">
      <c r="B399" s="413" t="s">
        <v>663</v>
      </c>
      <c r="C399" s="414"/>
      <c r="D399" s="414"/>
      <c r="E399" s="414"/>
      <c r="F399" s="414"/>
      <c r="G399" s="414"/>
    </row>
    <row r="400" spans="2:10" ht="15" customHeight="1" x14ac:dyDescent="0.25"/>
    <row r="401" spans="2:10" ht="11.25" customHeight="1" x14ac:dyDescent="0.25"/>
    <row r="402" spans="2:10" ht="15" customHeight="1" x14ac:dyDescent="0.25">
      <c r="B402" s="22" t="s">
        <v>49</v>
      </c>
      <c r="C402" s="22" t="s">
        <v>1</v>
      </c>
      <c r="D402" s="22" t="s">
        <v>64</v>
      </c>
      <c r="E402" s="22" t="s">
        <v>65</v>
      </c>
    </row>
    <row r="403" spans="2:10" ht="15" customHeight="1" x14ac:dyDescent="0.25">
      <c r="B403" s="1">
        <v>54</v>
      </c>
      <c r="C403" s="2" t="s">
        <v>509</v>
      </c>
      <c r="D403" s="4"/>
      <c r="E403" s="21"/>
    </row>
    <row r="404" spans="2:10" ht="15" customHeight="1" x14ac:dyDescent="0.25">
      <c r="B404" s="1">
        <v>55</v>
      </c>
      <c r="C404" s="242" t="s">
        <v>580</v>
      </c>
      <c r="D404" s="4"/>
      <c r="E404" s="4"/>
    </row>
    <row r="405" spans="2:10" ht="15" customHeight="1" x14ac:dyDescent="0.25">
      <c r="B405" s="14"/>
      <c r="C405" s="14"/>
    </row>
    <row r="406" spans="2:10" ht="15" customHeight="1" x14ac:dyDescent="0.25">
      <c r="B406" s="14"/>
      <c r="C406" s="14"/>
      <c r="E406" s="374" t="s">
        <v>504</v>
      </c>
      <c r="F406" s="374"/>
      <c r="G406" s="374"/>
      <c r="H406" s="374"/>
      <c r="I406" s="374"/>
      <c r="J406" s="374"/>
    </row>
    <row r="407" spans="2:10" ht="15" customHeight="1" x14ac:dyDescent="0.25">
      <c r="B407" s="5" t="s">
        <v>49</v>
      </c>
      <c r="C407" s="5" t="s">
        <v>1</v>
      </c>
      <c r="D407" s="6" t="s">
        <v>48</v>
      </c>
      <c r="E407" s="162" t="s">
        <v>505</v>
      </c>
      <c r="F407" s="377" t="s">
        <v>506</v>
      </c>
      <c r="G407" s="377"/>
      <c r="H407" s="377"/>
      <c r="I407" s="161" t="s">
        <v>505</v>
      </c>
      <c r="J407" s="163" t="s">
        <v>506</v>
      </c>
    </row>
    <row r="408" spans="2:10" ht="35.25" customHeight="1" x14ac:dyDescent="0.25">
      <c r="B408" s="1">
        <v>56</v>
      </c>
      <c r="C408" s="242" t="s">
        <v>581</v>
      </c>
      <c r="D408" s="159" t="s">
        <v>66</v>
      </c>
      <c r="E408" s="179">
        <v>112</v>
      </c>
      <c r="F408" s="373" t="s">
        <v>584</v>
      </c>
      <c r="G408" s="373"/>
      <c r="H408" s="373"/>
      <c r="I408" s="179">
        <v>113</v>
      </c>
      <c r="J408" s="182" t="s">
        <v>585</v>
      </c>
    </row>
    <row r="409" spans="2:10" ht="15" customHeight="1" x14ac:dyDescent="0.25">
      <c r="B409" s="14"/>
      <c r="C409" s="14"/>
      <c r="E409" s="8" t="s">
        <v>51</v>
      </c>
      <c r="F409" s="9" t="s">
        <v>52</v>
      </c>
      <c r="G409" s="10" t="s">
        <v>53</v>
      </c>
    </row>
    <row r="410" spans="2:10" ht="15" customHeight="1" x14ac:dyDescent="0.25">
      <c r="B410" s="14"/>
      <c r="C410" s="14"/>
      <c r="E410" s="11" t="s">
        <v>54</v>
      </c>
      <c r="F410" s="11" t="s">
        <v>54</v>
      </c>
      <c r="G410" s="11" t="s">
        <v>54</v>
      </c>
    </row>
    <row r="411" spans="2:10" ht="15" customHeight="1" x14ac:dyDescent="0.25">
      <c r="B411" s="14"/>
      <c r="C411" s="14"/>
    </row>
    <row r="412" spans="2:10" ht="118.5" customHeight="1" x14ac:dyDescent="0.25">
      <c r="B412" s="381" t="s">
        <v>612</v>
      </c>
      <c r="C412" s="364"/>
      <c r="D412" s="364"/>
      <c r="E412" s="364"/>
      <c r="F412" s="364"/>
      <c r="G412" s="364"/>
    </row>
    <row r="413" spans="2:10" ht="15" customHeight="1" x14ac:dyDescent="0.25">
      <c r="B413" s="14"/>
      <c r="C413" s="14"/>
    </row>
    <row r="414" spans="2:10" ht="15" customHeight="1" x14ac:dyDescent="0.25">
      <c r="B414" s="14"/>
      <c r="C414" s="14"/>
    </row>
    <row r="415" spans="2:10" ht="15" customHeight="1" x14ac:dyDescent="0.25">
      <c r="B415" s="14"/>
      <c r="C415" s="14"/>
    </row>
    <row r="416" spans="2:10" ht="15" customHeight="1" x14ac:dyDescent="0.25">
      <c r="B416" s="14"/>
      <c r="C416" s="14"/>
      <c r="E416" s="374" t="s">
        <v>504</v>
      </c>
      <c r="F416" s="374"/>
      <c r="G416" s="374"/>
      <c r="H416" s="374"/>
      <c r="I416" s="374"/>
      <c r="J416" s="374"/>
    </row>
    <row r="417" spans="2:10" ht="15" customHeight="1" x14ac:dyDescent="0.25">
      <c r="B417" s="5" t="s">
        <v>49</v>
      </c>
      <c r="C417" s="5" t="s">
        <v>1</v>
      </c>
      <c r="D417" s="6" t="s">
        <v>48</v>
      </c>
      <c r="E417" s="162" t="s">
        <v>505</v>
      </c>
      <c r="F417" s="377" t="s">
        <v>506</v>
      </c>
      <c r="G417" s="377"/>
      <c r="H417" s="377"/>
      <c r="I417" s="161" t="s">
        <v>505</v>
      </c>
      <c r="J417" s="163" t="s">
        <v>506</v>
      </c>
    </row>
    <row r="418" spans="2:10" ht="27.75" customHeight="1" x14ac:dyDescent="0.25">
      <c r="B418" s="1">
        <v>54</v>
      </c>
      <c r="C418" s="2" t="s">
        <v>509</v>
      </c>
      <c r="D418" s="159" t="s">
        <v>66</v>
      </c>
      <c r="E418" s="177">
        <v>108</v>
      </c>
      <c r="F418" s="372" t="s">
        <v>510</v>
      </c>
      <c r="G418" s="372"/>
      <c r="H418" s="372"/>
      <c r="I418" s="177">
        <v>109</v>
      </c>
      <c r="J418" s="184" t="s">
        <v>511</v>
      </c>
    </row>
    <row r="419" spans="2:10" ht="33" customHeight="1" x14ac:dyDescent="0.25">
      <c r="B419" s="1">
        <v>55</v>
      </c>
      <c r="C419" s="242" t="s">
        <v>580</v>
      </c>
      <c r="D419" s="159" t="s">
        <v>66</v>
      </c>
      <c r="E419" s="179">
        <v>110</v>
      </c>
      <c r="F419" s="372" t="s">
        <v>582</v>
      </c>
      <c r="G419" s="372"/>
      <c r="H419" s="372"/>
      <c r="I419" s="179">
        <v>111</v>
      </c>
      <c r="J419" s="182" t="s">
        <v>583</v>
      </c>
    </row>
    <row r="420" spans="2:10" ht="34.5" customHeight="1" x14ac:dyDescent="0.25">
      <c r="B420" s="1">
        <v>56</v>
      </c>
      <c r="C420" s="242" t="s">
        <v>581</v>
      </c>
      <c r="D420" s="159" t="s">
        <v>66</v>
      </c>
      <c r="E420" s="179">
        <v>112</v>
      </c>
      <c r="F420" s="373" t="s">
        <v>584</v>
      </c>
      <c r="G420" s="373"/>
      <c r="H420" s="373"/>
      <c r="I420" s="179">
        <v>113</v>
      </c>
      <c r="J420" s="182" t="s">
        <v>585</v>
      </c>
    </row>
    <row r="421" spans="2:10" ht="15" customHeight="1" x14ac:dyDescent="0.25"/>
    <row r="422" spans="2:10" ht="15" customHeight="1" x14ac:dyDescent="0.25"/>
    <row r="423" spans="2:10" ht="15" customHeight="1" x14ac:dyDescent="0.25"/>
    <row r="424" spans="2:10" ht="15" customHeight="1" x14ac:dyDescent="0.25"/>
    <row r="425" spans="2:10" ht="15" customHeight="1" x14ac:dyDescent="0.25"/>
    <row r="437" ht="36.75" customHeight="1" x14ac:dyDescent="0.25"/>
  </sheetData>
  <mergeCells count="146">
    <mergeCell ref="F408:H408"/>
    <mergeCell ref="B412:G412"/>
    <mergeCell ref="F394:H394"/>
    <mergeCell ref="B399:G399"/>
    <mergeCell ref="B398:G398"/>
    <mergeCell ref="E406:J406"/>
    <mergeCell ref="F407:H407"/>
    <mergeCell ref="E380:J380"/>
    <mergeCell ref="F381:H381"/>
    <mergeCell ref="F382:H382"/>
    <mergeCell ref="B386:G386"/>
    <mergeCell ref="E371:J371"/>
    <mergeCell ref="F372:H372"/>
    <mergeCell ref="F373:H373"/>
    <mergeCell ref="F349:H349"/>
    <mergeCell ref="F350:H350"/>
    <mergeCell ref="F351:H351"/>
    <mergeCell ref="B355:G355"/>
    <mergeCell ref="B356:G356"/>
    <mergeCell ref="F344:H344"/>
    <mergeCell ref="F345:H345"/>
    <mergeCell ref="F346:H346"/>
    <mergeCell ref="F347:H347"/>
    <mergeCell ref="F348:H348"/>
    <mergeCell ref="B335:G335"/>
    <mergeCell ref="F340:H340"/>
    <mergeCell ref="F341:H341"/>
    <mergeCell ref="F342:H342"/>
    <mergeCell ref="F343:H343"/>
    <mergeCell ref="F320:H320"/>
    <mergeCell ref="B324:G324"/>
    <mergeCell ref="B325:G325"/>
    <mergeCell ref="F330:H330"/>
    <mergeCell ref="F331:H331"/>
    <mergeCell ref="F308:H308"/>
    <mergeCell ref="F309:H309"/>
    <mergeCell ref="B313:G313"/>
    <mergeCell ref="B314:G314"/>
    <mergeCell ref="F319:H319"/>
    <mergeCell ref="B303:G303"/>
    <mergeCell ref="F256:H256"/>
    <mergeCell ref="F257:H257"/>
    <mergeCell ref="B263:G263"/>
    <mergeCell ref="F258:H258"/>
    <mergeCell ref="F259:H259"/>
    <mergeCell ref="D269:F269"/>
    <mergeCell ref="F240:H240"/>
    <mergeCell ref="F241:H241"/>
    <mergeCell ref="F297:H297"/>
    <mergeCell ref="F298:H298"/>
    <mergeCell ref="B302:G302"/>
    <mergeCell ref="F229:H229"/>
    <mergeCell ref="F230:H230"/>
    <mergeCell ref="B234:G234"/>
    <mergeCell ref="B235:G235"/>
    <mergeCell ref="F172:H172"/>
    <mergeCell ref="F151:H151"/>
    <mergeCell ref="F152:H152"/>
    <mergeCell ref="E159:J159"/>
    <mergeCell ref="F160:H160"/>
    <mergeCell ref="F185:H185"/>
    <mergeCell ref="F188:G188"/>
    <mergeCell ref="B190:G190"/>
    <mergeCell ref="B192:G192"/>
    <mergeCell ref="B177:G177"/>
    <mergeCell ref="F175:G175"/>
    <mergeCell ref="B178:G178"/>
    <mergeCell ref="E183:J183"/>
    <mergeCell ref="F184:H184"/>
    <mergeCell ref="B126:G126"/>
    <mergeCell ref="B127:G127"/>
    <mergeCell ref="B128:G128"/>
    <mergeCell ref="B131:G131"/>
    <mergeCell ref="E136:J136"/>
    <mergeCell ref="F161:H161"/>
    <mergeCell ref="B165:G165"/>
    <mergeCell ref="E170:J170"/>
    <mergeCell ref="F171:H171"/>
    <mergeCell ref="F5:H5"/>
    <mergeCell ref="E4:H4"/>
    <mergeCell ref="B52:G52"/>
    <mergeCell ref="B53:G53"/>
    <mergeCell ref="D37:E37"/>
    <mergeCell ref="B16:D16"/>
    <mergeCell ref="B9:D9"/>
    <mergeCell ref="B31:D31"/>
    <mergeCell ref="B10:D10"/>
    <mergeCell ref="B32:D32"/>
    <mergeCell ref="B33:D33"/>
    <mergeCell ref="B7:D7"/>
    <mergeCell ref="B8:D8"/>
    <mergeCell ref="B11:C11"/>
    <mergeCell ref="B15:D15"/>
    <mergeCell ref="F6:H6"/>
    <mergeCell ref="F7:H7"/>
    <mergeCell ref="E31:J33"/>
    <mergeCell ref="E45:J45"/>
    <mergeCell ref="F46:H46"/>
    <mergeCell ref="F47:H47"/>
    <mergeCell ref="F50:G50"/>
    <mergeCell ref="F74:H74"/>
    <mergeCell ref="F30:H30"/>
    <mergeCell ref="F29:H29"/>
    <mergeCell ref="E28:J28"/>
    <mergeCell ref="F8:H8"/>
    <mergeCell ref="F9:H9"/>
    <mergeCell ref="B98:G98"/>
    <mergeCell ref="E94:J94"/>
    <mergeCell ref="F95:H95"/>
    <mergeCell ref="F96:H96"/>
    <mergeCell ref="B92:G92"/>
    <mergeCell ref="F79:G79"/>
    <mergeCell ref="B81:G81"/>
    <mergeCell ref="B82:G82"/>
    <mergeCell ref="F55:H55"/>
    <mergeCell ref="F56:H56"/>
    <mergeCell ref="F59:G59"/>
    <mergeCell ref="B61:G61"/>
    <mergeCell ref="B62:G62"/>
    <mergeCell ref="F75:H75"/>
    <mergeCell ref="F76:H76"/>
    <mergeCell ref="E73:J73"/>
    <mergeCell ref="F418:H418"/>
    <mergeCell ref="F419:H419"/>
    <mergeCell ref="F420:H420"/>
    <mergeCell ref="E104:J104"/>
    <mergeCell ref="B113:G113"/>
    <mergeCell ref="F105:H105"/>
    <mergeCell ref="F106:H106"/>
    <mergeCell ref="F107:H107"/>
    <mergeCell ref="F110:G110"/>
    <mergeCell ref="B112:G112"/>
    <mergeCell ref="E416:J416"/>
    <mergeCell ref="F417:H417"/>
    <mergeCell ref="F120:H120"/>
    <mergeCell ref="F121:H121"/>
    <mergeCell ref="F124:G124"/>
    <mergeCell ref="E391:J391"/>
    <mergeCell ref="F392:H392"/>
    <mergeCell ref="F393:H393"/>
    <mergeCell ref="E119:J119"/>
    <mergeCell ref="F137:H137"/>
    <mergeCell ref="F138:H138"/>
    <mergeCell ref="F141:G141"/>
    <mergeCell ref="B144:G144"/>
    <mergeCell ref="E150:J150"/>
  </mergeCells>
  <phoneticPr fontId="23" type="noConversion"/>
  <dataValidations count="4">
    <dataValidation type="list" allowBlank="1" showInputMessage="1" showErrorMessage="1" errorTitle="Percepción" error="Solo se permiten datos de la lista" sqref="D6 D30 D47 D185 D382:D385 D56 D75:D76 D96 D106:D107 D121 D138 D152 D161 D172 D230 D241 D298 D257:D262 D309 D320 D331 D341:D351 D373:D375 D393:D394 D408 D418:D420" xr:uid="{9A231EB8-9052-4E29-BCD7-084C907699FA}">
      <formula1>"O = Ordinaria,E =Extraordinaria"</formula1>
    </dataValidation>
    <dataValidation type="list" allowBlank="1" showInputMessage="1" showErrorMessage="1" errorTitle="Percepción" error="Solo se permiten datos de la lista" sqref="E12:G12 E49:G49 E35:G35 E396:G397 E78:E79 F78:G78 E58:E59 F58:G58 E109:E110 F109:G109 E123:E124 F123:G123 E140:E141 F140:G140 E154:E155 F154:G154 E163:G164 E166 E169 F174:G174 E174:E176 E182 E179 F179:G182 F187:G187 E187:E189 E191 E193 E196 E227:E228 F232:G232 E232:E233 E236 E239 F243:G243 E243:E252 E311:G311 F300:G300 E300:E301 E304 E261:G262 E255 E307 E318 E322:G322 E323 E315 E326 E329 E333:G334 E336 E339 E344:E351 E353:G353 E354 E357 E359:E370 E375:G375 E384:G385 E410:G410" xr:uid="{4D66354D-D271-4061-82A1-16B2542B59B0}">
      <formula1>"Sí,No"</formula1>
    </dataValidation>
    <dataValidation type="list" allowBlank="1" showInputMessage="1" showErrorMessage="1" errorTitle="Percepciones" error="Solo se permiten datos de la lista" sqref="C198:C204" xr:uid="{F2814191-E41D-4B5E-A4DF-4A36F193111D}">
      <formula1>"Simple,Doble,Triple"</formula1>
    </dataValidation>
    <dataValidation type="list" allowBlank="1" showInputMessage="1" showErrorMessage="1" errorTitle="Percepciones" error="Solo se permiten datos de la lista" sqref="E277:E279" xr:uid="{9512A2CC-E2AD-40DA-8676-671BEAFA31E9}">
      <formula1>"Sí,No"</formula1>
    </dataValidation>
  </dataValidations>
  <pageMargins left="0.7" right="0.7" top="0.75" bottom="0.75" header="0.3" footer="0.3"/>
  <pageSetup orientation="portrait" r:id="rId1"/>
  <ignoredErrors>
    <ignoredError sqref="E75:E76" numberStoredAsText="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2" id="{5A9B1D19-AE8C-46FC-82E9-04347C85473B}">
            <xm:f>IF(CONTRA=GENERAL!B$107,1,0)</xm:f>
            <x14:dxf>
              <font>
                <color theme="1"/>
              </font>
            </x14:dxf>
          </x14:cfRule>
          <xm:sqref>B7:D10 B52:G53</xm:sqref>
        </x14:conditionalFormatting>
        <x14:conditionalFormatting xmlns:xm="http://schemas.microsoft.com/office/excel/2006/main">
          <x14:cfRule type="expression" priority="9" id="{86D80FA3-F7F5-4F54-8FF2-D44EC5D45D5A}">
            <xm:f>IF(CONTRA=GENERAL!$B$107,1,0)</xm:f>
            <x14:dxf>
              <font>
                <color theme="1"/>
              </font>
            </x14:dxf>
          </x14:cfRule>
          <xm:sqref>B15:D16</xm:sqref>
        </x14:conditionalFormatting>
        <x14:conditionalFormatting xmlns:xm="http://schemas.microsoft.com/office/excel/2006/main">
          <x14:cfRule type="expression" priority="6" id="{527A3ECC-6324-4809-9C08-51ED6028EED2}">
            <xm:f>IF(CONTRA=GENERAL!$B$107,1,0)</xm:f>
            <x14:dxf>
              <font>
                <color theme="1"/>
              </font>
            </x14:dxf>
          </x14:cfRule>
          <xm:sqref>B31:D33</xm:sqref>
        </x14:conditionalFormatting>
        <x14:conditionalFormatting xmlns:xm="http://schemas.microsoft.com/office/excel/2006/main">
          <x14:cfRule type="expression" priority="8" id="{BD8D8C69-E323-4C88-B0BA-48D0177D24B2}">
            <xm:f>IF(CONTRA=GENERAL!$B$107,1,0)</xm:f>
            <x14:dxf>
              <font>
                <color theme="1"/>
              </font>
            </x14:dxf>
          </x14:cfRule>
          <xm:sqref>C17:C22</xm:sqref>
        </x14:conditionalFormatting>
        <x14:conditionalFormatting xmlns:xm="http://schemas.microsoft.com/office/excel/2006/main">
          <x14:cfRule type="expression" priority="5" id="{03E655E0-935C-4C6F-BC1B-FBBE83FE928F}">
            <xm:f>IF(CONTRA=GENERAL!$B$107,1,0)</xm:f>
            <x14:dxf>
              <font>
                <color theme="1"/>
              </font>
            </x14:dxf>
          </x14:cfRule>
          <xm:sqref>C34:C36</xm:sqref>
        </x14:conditionalFormatting>
        <x14:conditionalFormatting xmlns:xm="http://schemas.microsoft.com/office/excel/2006/main">
          <x14:cfRule type="expression" priority="11" id="{6505439B-83C9-42F7-9A1B-2A3FF4ADEA1E}">
            <xm:f>IF(CONTRA=GENERAL!$B$107,1,0)</xm:f>
            <x14:dxf>
              <numFmt numFmtId="4" formatCode="#,##0.00"/>
            </x14:dxf>
          </x14:cfRule>
          <xm:sqref>D11:D14</xm:sqref>
        </x14:conditionalFormatting>
        <x14:conditionalFormatting xmlns:xm="http://schemas.microsoft.com/office/excel/2006/main">
          <x14:cfRule type="expression" priority="7" id="{D072625C-F6C6-4504-B302-5E0D3B9E5D4B}">
            <xm:f>IF(CONTRA=GENERAL!$B$107,1,0)</xm:f>
            <x14:dxf>
              <numFmt numFmtId="0" formatCode="General"/>
            </x14:dxf>
          </x14:cfRule>
          <xm:sqref>D19:D21</xm:sqref>
        </x14:conditionalFormatting>
        <x14:conditionalFormatting xmlns:xm="http://schemas.microsoft.com/office/excel/2006/main">
          <x14:cfRule type="expression" priority="10" id="{8BC2A71F-7AFA-44BB-9939-1D402F3E506E}">
            <xm:f>IF(CONTRA=GENERAL!$B$107,1,0)</xm:f>
            <x14:dxf>
              <numFmt numFmtId="4" formatCode="#,##0.00"/>
            </x14:dxf>
          </x14:cfRule>
          <xm:sqref>E13:G14</xm:sqref>
        </x14:conditionalFormatting>
        <x14:conditionalFormatting xmlns:xm="http://schemas.microsoft.com/office/excel/2006/main">
          <x14:cfRule type="expression" priority="1" id="{9DA6CB0C-1F6A-4E73-9722-18536159B82C}">
            <xm:f>IF(CONTRA=GENERAL!B$107,1,0)</xm:f>
            <x14:dxf>
              <font>
                <color theme="1"/>
              </font>
            </x14:dxf>
          </x14:cfRule>
          <xm:sqref>E31:J33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errorTitle="Percepción" error="Solo se permiten datos de la lista" xr:uid="{995F6D97-428C-4B19-8E07-0D1B34D36EE2}">
          <x14:formula1>
            <xm:f>GENERAL!$B$36:$B$66</xm:f>
          </x14:formula1>
          <xm:sqref>D17</xm:sqref>
        </x14:dataValidation>
        <x14:dataValidation type="list" allowBlank="1" showInputMessage="1" showErrorMessage="1" errorTitle="Percepción" error="Solo se permiten datos de la lista" xr:uid="{1E540445-0421-4877-97DD-59FECCDE6663}">
          <x14:formula1>
            <xm:f>GENERAL!$B$21:$B$22</xm:f>
          </x14:formula1>
          <xm:sqref>D37</xm:sqref>
        </x14:dataValidation>
        <x14:dataValidation type="list" allowBlank="1" showInputMessage="1" showErrorMessage="1" errorTitle="Tiempo extra" error="Solo se permiten datos de la lista" xr:uid="{6312B52F-C4C8-4599-BF3A-1FE11AA5B7A7}">
          <x14:formula1>
            <xm:f>GENERAL!$B$21:$B$22</xm:f>
          </x14:formula1>
          <xm:sqref>C195 D269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DBE2C-4CB8-415E-B4AA-81F7DC4AE99C}">
  <sheetPr codeName="Hoja24"/>
  <dimension ref="B1:H25"/>
  <sheetViews>
    <sheetView showGridLines="0" zoomScale="110" zoomScaleNormal="110" workbookViewId="0">
      <selection activeCell="B8" sqref="B8:H8"/>
    </sheetView>
  </sheetViews>
  <sheetFormatPr baseColWidth="10" defaultRowHeight="15" x14ac:dyDescent="0.25"/>
  <cols>
    <col min="1" max="1" width="2.7109375" customWidth="1"/>
    <col min="2" max="2" width="20.5703125" customWidth="1"/>
    <col min="3" max="3" width="24.5703125" customWidth="1"/>
    <col min="4" max="4" width="26.7109375" customWidth="1"/>
    <col min="5" max="5" width="25.140625" customWidth="1"/>
    <col min="6" max="6" width="16.42578125" customWidth="1"/>
    <col min="7" max="7" width="11.85546875" bestFit="1" customWidth="1"/>
    <col min="8" max="8" width="28.28515625" customWidth="1"/>
    <col min="9" max="9" width="33.85546875" customWidth="1"/>
  </cols>
  <sheetData>
    <row r="1" spans="2:8" ht="23.25" customHeight="1" x14ac:dyDescent="0.25"/>
    <row r="2" spans="2:8" ht="20.25" customHeight="1" x14ac:dyDescent="0.25"/>
    <row r="4" spans="2:8" x14ac:dyDescent="0.25">
      <c r="F4" s="418" t="s">
        <v>142</v>
      </c>
      <c r="G4" s="418"/>
      <c r="H4" s="418"/>
    </row>
    <row r="5" spans="2:8" x14ac:dyDescent="0.25">
      <c r="B5" s="37" t="s">
        <v>0</v>
      </c>
      <c r="C5" s="424" t="s">
        <v>1</v>
      </c>
      <c r="D5" s="425"/>
      <c r="E5" s="426"/>
      <c r="F5" s="42" t="s">
        <v>64</v>
      </c>
      <c r="G5" s="43" t="s">
        <v>65</v>
      </c>
      <c r="H5" s="43" t="s">
        <v>143</v>
      </c>
    </row>
    <row r="6" spans="2:8" x14ac:dyDescent="0.25">
      <c r="B6" s="336">
        <v>45</v>
      </c>
      <c r="C6" s="427" t="s">
        <v>37</v>
      </c>
      <c r="D6" s="428"/>
      <c r="E6" s="429"/>
      <c r="F6" s="39" t="s">
        <v>144</v>
      </c>
      <c r="G6" s="39" t="s">
        <v>145</v>
      </c>
      <c r="H6" s="4"/>
    </row>
    <row r="7" spans="2:8" x14ac:dyDescent="0.25">
      <c r="B7" s="336" t="s">
        <v>38</v>
      </c>
      <c r="C7" s="419" t="s">
        <v>39</v>
      </c>
      <c r="D7" s="420"/>
      <c r="E7" s="421"/>
      <c r="F7" s="39" t="s">
        <v>144</v>
      </c>
      <c r="G7" s="39" t="s">
        <v>145</v>
      </c>
      <c r="H7" s="4"/>
    </row>
    <row r="8" spans="2:8" ht="359.25" customHeight="1" x14ac:dyDescent="0.25">
      <c r="B8" s="430" t="s">
        <v>836</v>
      </c>
      <c r="C8" s="430"/>
      <c r="D8" s="430"/>
      <c r="E8" s="431"/>
      <c r="F8" s="431"/>
      <c r="G8" s="431"/>
      <c r="H8" s="431"/>
    </row>
    <row r="11" spans="2:8" x14ac:dyDescent="0.25">
      <c r="B11" s="45"/>
      <c r="C11" s="45"/>
      <c r="D11" s="45"/>
      <c r="E11" s="45"/>
      <c r="F11" s="45"/>
      <c r="G11" s="45"/>
      <c r="H11" s="45"/>
    </row>
    <row r="13" spans="2:8" x14ac:dyDescent="0.25">
      <c r="F13" s="418" t="s">
        <v>142</v>
      </c>
      <c r="G13" s="418"/>
      <c r="H13" s="418"/>
    </row>
    <row r="14" spans="2:8" x14ac:dyDescent="0.25">
      <c r="B14" s="37" t="s">
        <v>0</v>
      </c>
      <c r="C14" s="424" t="s">
        <v>1</v>
      </c>
      <c r="D14" s="425"/>
      <c r="E14" s="426"/>
      <c r="F14" s="42" t="s">
        <v>64</v>
      </c>
      <c r="G14" s="43" t="s">
        <v>65</v>
      </c>
      <c r="H14" s="43" t="s">
        <v>143</v>
      </c>
    </row>
    <row r="15" spans="2:8" ht="43.5" customHeight="1" x14ac:dyDescent="0.25">
      <c r="B15" s="336">
        <v>39</v>
      </c>
      <c r="C15" s="427" t="s">
        <v>35</v>
      </c>
      <c r="D15" s="428"/>
      <c r="E15" s="429"/>
      <c r="F15" s="39" t="s">
        <v>144</v>
      </c>
      <c r="G15" s="39" t="s">
        <v>144</v>
      </c>
      <c r="H15" s="36" t="s">
        <v>158</v>
      </c>
    </row>
    <row r="16" spans="2:8" ht="65.25" customHeight="1" x14ac:dyDescent="0.25">
      <c r="B16" s="336">
        <v>53</v>
      </c>
      <c r="C16" s="419" t="s">
        <v>47</v>
      </c>
      <c r="D16" s="420"/>
      <c r="E16" s="421"/>
      <c r="F16" s="39" t="s">
        <v>144</v>
      </c>
      <c r="G16" s="39" t="s">
        <v>144</v>
      </c>
      <c r="H16" s="4"/>
    </row>
    <row r="17" spans="2:8" ht="179.25" customHeight="1" x14ac:dyDescent="0.25">
      <c r="B17" s="422" t="s">
        <v>837</v>
      </c>
      <c r="C17" s="422"/>
      <c r="D17" s="422"/>
      <c r="E17" s="423"/>
      <c r="F17" s="423"/>
      <c r="G17" s="423"/>
      <c r="H17" s="423"/>
    </row>
    <row r="20" spans="2:8" x14ac:dyDescent="0.25">
      <c r="F20" s="418" t="s">
        <v>142</v>
      </c>
      <c r="G20" s="418"/>
      <c r="H20" s="418"/>
    </row>
    <row r="21" spans="2:8" x14ac:dyDescent="0.25">
      <c r="B21" s="37" t="s">
        <v>0</v>
      </c>
      <c r="C21" s="424" t="s">
        <v>1</v>
      </c>
      <c r="D21" s="425"/>
      <c r="E21" s="426"/>
      <c r="F21" s="42" t="s">
        <v>64</v>
      </c>
      <c r="G21" s="43" t="s">
        <v>65</v>
      </c>
      <c r="H21" s="43" t="s">
        <v>143</v>
      </c>
    </row>
    <row r="22" spans="2:8" ht="51" customHeight="1" x14ac:dyDescent="0.25">
      <c r="B22" s="336">
        <v>44</v>
      </c>
      <c r="C22" s="427" t="s">
        <v>36</v>
      </c>
      <c r="D22" s="428"/>
      <c r="E22" s="429"/>
      <c r="F22" s="39" t="s">
        <v>144</v>
      </c>
      <c r="G22" s="39" t="s">
        <v>144</v>
      </c>
      <c r="H22" s="41" t="s">
        <v>159</v>
      </c>
    </row>
    <row r="23" spans="2:8" ht="39" customHeight="1" x14ac:dyDescent="0.25">
      <c r="B23" s="336">
        <v>51</v>
      </c>
      <c r="C23" s="419" t="s">
        <v>45</v>
      </c>
      <c r="D23" s="420"/>
      <c r="E23" s="421"/>
      <c r="F23" s="39" t="s">
        <v>144</v>
      </c>
      <c r="G23" s="39" t="s">
        <v>145</v>
      </c>
      <c r="H23" s="7" t="s">
        <v>160</v>
      </c>
    </row>
    <row r="24" spans="2:8" ht="44.25" customHeight="1" x14ac:dyDescent="0.25">
      <c r="B24" s="336">
        <v>52</v>
      </c>
      <c r="C24" s="419" t="s">
        <v>46</v>
      </c>
      <c r="D24" s="420"/>
      <c r="E24" s="421"/>
      <c r="F24" s="39" t="s">
        <v>144</v>
      </c>
      <c r="G24" s="39" t="s">
        <v>144</v>
      </c>
      <c r="H24" s="4"/>
    </row>
    <row r="25" spans="2:8" ht="233.25" customHeight="1" x14ac:dyDescent="0.25">
      <c r="B25" s="432" t="s">
        <v>838</v>
      </c>
      <c r="C25" s="432"/>
      <c r="D25" s="432"/>
      <c r="E25" s="433"/>
      <c r="F25" s="433"/>
      <c r="G25" s="433"/>
      <c r="H25" s="433"/>
    </row>
  </sheetData>
  <mergeCells count="16">
    <mergeCell ref="C21:E21"/>
    <mergeCell ref="C22:E22"/>
    <mergeCell ref="C23:E23"/>
    <mergeCell ref="C24:E24"/>
    <mergeCell ref="B25:H25"/>
    <mergeCell ref="F4:H4"/>
    <mergeCell ref="C16:E16"/>
    <mergeCell ref="B17:H17"/>
    <mergeCell ref="F20:H20"/>
    <mergeCell ref="C5:E5"/>
    <mergeCell ref="C6:E6"/>
    <mergeCell ref="C7:E7"/>
    <mergeCell ref="B8:H8"/>
    <mergeCell ref="F13:H13"/>
    <mergeCell ref="C14:E14"/>
    <mergeCell ref="C15:E15"/>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3" id="{98422FEA-8CF7-4218-8F55-D82E3C4B15AB}">
            <xm:f>IF(CONTRA=GENERAL!B$107,1,0)</xm:f>
            <x14:dxf>
              <font>
                <color theme="1"/>
              </font>
            </x14:dxf>
          </x14:cfRule>
          <xm:sqref>B6:H8 B15:H17 B22:H25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967FF-AB39-49FF-A224-81B8521F2849}">
  <sheetPr codeName="Hoja14"/>
  <dimension ref="B3:E19"/>
  <sheetViews>
    <sheetView showGridLines="0" workbookViewId="0">
      <selection activeCell="C5" sqref="C5"/>
    </sheetView>
  </sheetViews>
  <sheetFormatPr baseColWidth="10" defaultRowHeight="15" x14ac:dyDescent="0.25"/>
  <cols>
    <col min="2" max="2" width="24.28515625" customWidth="1"/>
    <col min="3" max="3" width="78.5703125" bestFit="1" customWidth="1"/>
    <col min="4" max="4" width="18.42578125" customWidth="1"/>
    <col min="5" max="5" width="73.140625" customWidth="1"/>
  </cols>
  <sheetData>
    <row r="3" spans="2:5" ht="15.75" thickBot="1" x14ac:dyDescent="0.3"/>
    <row r="4" spans="2:5" ht="16.5" thickBot="1" x14ac:dyDescent="0.3">
      <c r="B4" s="295" t="s">
        <v>664</v>
      </c>
      <c r="C4" s="296" t="s">
        <v>1</v>
      </c>
      <c r="D4" s="446" t="s">
        <v>712</v>
      </c>
      <c r="E4" s="447"/>
    </row>
    <row r="5" spans="2:5" ht="28.5" customHeight="1" x14ac:dyDescent="0.25">
      <c r="B5" s="301">
        <v>1</v>
      </c>
      <c r="C5" s="302" t="s">
        <v>586</v>
      </c>
      <c r="D5" s="445" t="s">
        <v>787</v>
      </c>
      <c r="E5" s="445"/>
    </row>
    <row r="6" spans="2:5" ht="167.25" customHeight="1" x14ac:dyDescent="0.25">
      <c r="B6" s="303">
        <v>2</v>
      </c>
      <c r="C6" s="304" t="s">
        <v>535</v>
      </c>
      <c r="D6" s="434" t="e" vm="4">
        <v>#VALUE!</v>
      </c>
      <c r="E6" s="434"/>
    </row>
    <row r="7" spans="2:5" ht="15.75" x14ac:dyDescent="0.25">
      <c r="B7" s="273"/>
      <c r="C7" s="157"/>
      <c r="D7" s="291" t="s">
        <v>669</v>
      </c>
      <c r="E7" s="291" t="s">
        <v>243</v>
      </c>
    </row>
    <row r="8" spans="2:5" ht="15.75" x14ac:dyDescent="0.25">
      <c r="B8" s="303">
        <v>3</v>
      </c>
      <c r="C8" s="304" t="s">
        <v>665</v>
      </c>
      <c r="D8" s="292">
        <v>81</v>
      </c>
      <c r="E8" s="293" t="s">
        <v>668</v>
      </c>
    </row>
    <row r="9" spans="2:5" ht="15.75" x14ac:dyDescent="0.25">
      <c r="B9" s="303">
        <v>4</v>
      </c>
      <c r="C9" s="304" t="s">
        <v>536</v>
      </c>
      <c r="D9" s="448" t="s">
        <v>788</v>
      </c>
      <c r="E9" s="448"/>
    </row>
    <row r="10" spans="2:5" ht="90" customHeight="1" x14ac:dyDescent="0.25">
      <c r="B10" s="303"/>
      <c r="C10" s="294" t="s">
        <v>789</v>
      </c>
      <c r="D10" s="434" t="e" vm="5">
        <v>#VALUE!</v>
      </c>
      <c r="E10" s="434"/>
    </row>
    <row r="11" spans="2:5" ht="31.5" x14ac:dyDescent="0.25">
      <c r="B11" s="303">
        <v>5</v>
      </c>
      <c r="C11" s="304" t="s">
        <v>537</v>
      </c>
      <c r="D11" s="436" t="s">
        <v>790</v>
      </c>
      <c r="E11" s="436"/>
    </row>
    <row r="12" spans="2:5" ht="92.25" customHeight="1" x14ac:dyDescent="0.25">
      <c r="B12" s="439">
        <v>6</v>
      </c>
      <c r="C12" s="437" t="s">
        <v>587</v>
      </c>
      <c r="D12" s="435" t="s">
        <v>811</v>
      </c>
      <c r="E12" s="436"/>
    </row>
    <row r="13" spans="2:5" ht="118.5" customHeight="1" x14ac:dyDescent="0.25">
      <c r="B13" s="440"/>
      <c r="C13" s="438"/>
      <c r="D13" s="435" t="s">
        <v>812</v>
      </c>
      <c r="E13" s="435"/>
    </row>
    <row r="14" spans="2:5" ht="15" customHeight="1" x14ac:dyDescent="0.25">
      <c r="B14" s="273"/>
      <c r="C14" s="157"/>
      <c r="D14" s="291" t="s">
        <v>669</v>
      </c>
      <c r="E14" s="291" t="s">
        <v>243</v>
      </c>
    </row>
    <row r="15" spans="2:5" ht="15.75" customHeight="1" x14ac:dyDescent="0.25">
      <c r="B15" s="443">
        <v>7</v>
      </c>
      <c r="C15" s="444" t="s">
        <v>539</v>
      </c>
      <c r="D15" s="179">
        <v>107</v>
      </c>
      <c r="E15" s="175" t="s">
        <v>543</v>
      </c>
    </row>
    <row r="16" spans="2:5" ht="264.75" customHeight="1" x14ac:dyDescent="0.25">
      <c r="B16" s="443"/>
      <c r="C16" s="444"/>
      <c r="D16" s="441" t="e" vm="6">
        <v>#VALUE!</v>
      </c>
      <c r="E16" s="442"/>
    </row>
    <row r="17" spans="2:5" ht="47.25" x14ac:dyDescent="0.25">
      <c r="B17" s="301">
        <v>8</v>
      </c>
      <c r="C17" s="302" t="s">
        <v>540</v>
      </c>
      <c r="D17" s="290"/>
      <c r="E17" s="290"/>
    </row>
    <row r="18" spans="2:5" ht="72.75" customHeight="1" x14ac:dyDescent="0.25">
      <c r="B18" s="303">
        <v>9</v>
      </c>
      <c r="C18" s="304" t="s">
        <v>666</v>
      </c>
      <c r="D18" s="434" t="e" vm="7">
        <v>#VALUE!</v>
      </c>
      <c r="E18" s="434"/>
    </row>
    <row r="19" spans="2:5" ht="31.5" x14ac:dyDescent="0.25">
      <c r="B19" s="303">
        <v>999</v>
      </c>
      <c r="C19" s="304" t="s">
        <v>667</v>
      </c>
      <c r="D19" s="290"/>
      <c r="E19" s="290"/>
    </row>
  </sheetData>
  <mergeCells count="14">
    <mergeCell ref="D11:E11"/>
    <mergeCell ref="D5:E5"/>
    <mergeCell ref="D4:E4"/>
    <mergeCell ref="D6:E6"/>
    <mergeCell ref="D9:E9"/>
    <mergeCell ref="D10:E10"/>
    <mergeCell ref="D18:E18"/>
    <mergeCell ref="D12:E12"/>
    <mergeCell ref="D13:E13"/>
    <mergeCell ref="C12:C13"/>
    <mergeCell ref="B12:B13"/>
    <mergeCell ref="D16:E16"/>
    <mergeCell ref="B15:B16"/>
    <mergeCell ref="C15:C16"/>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4" id="{66CCEC0F-0BAD-4BC8-B768-E1373552F96C}">
            <xm:f>IF(CONTRA=GENERAL!B$107,1,0)</xm:f>
            <x14:dxf>
              <font>
                <color theme="1"/>
              </font>
            </x14:dxf>
          </x14:cfRule>
          <xm:sqref>B5:B19</xm:sqref>
        </x14:conditionalFormatting>
        <x14:conditionalFormatting xmlns:xm="http://schemas.microsoft.com/office/excel/2006/main">
          <x14:cfRule type="expression" priority="3" id="{D6571A60-5E20-44F9-A234-CD05D4ED25F9}">
            <xm:f>IF(CONTRA=GENERAL!B$107,1,0)</xm:f>
            <x14:dxf>
              <font>
                <color theme="1"/>
              </font>
            </x14:dxf>
          </x14:cfRule>
          <xm:sqref>C5:C9 C11:C19</xm:sqref>
        </x14:conditionalFormatting>
        <x14:conditionalFormatting xmlns:xm="http://schemas.microsoft.com/office/excel/2006/main">
          <x14:cfRule type="expression" priority="1" id="{D7D51074-F9AC-4092-8F94-53545A48F5C6}">
            <xm:f>IF(CONTRA=GENERAL!B$107,1,0)</xm:f>
            <x14:dxf>
              <font>
                <color theme="1"/>
              </font>
            </x14:dxf>
          </x14:cfRule>
          <xm:sqref>D11:E13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823E0-BC5C-41E4-B8D5-09A64CA3EAE4}">
  <sheetPr codeName="Hoja11"/>
  <dimension ref="B3:J195"/>
  <sheetViews>
    <sheetView showGridLines="0" topLeftCell="A10" zoomScale="110" zoomScaleNormal="110" workbookViewId="0">
      <selection activeCell="C30" sqref="C30"/>
    </sheetView>
  </sheetViews>
  <sheetFormatPr baseColWidth="10" defaultColWidth="9.140625" defaultRowHeight="15" x14ac:dyDescent="0.25"/>
  <cols>
    <col min="2" max="2" width="55" customWidth="1"/>
    <col min="3" max="3" width="14.85546875" customWidth="1"/>
    <col min="4" max="4" width="16.28515625" customWidth="1"/>
    <col min="5" max="5" width="20.5703125" customWidth="1"/>
    <col min="6" max="6" width="12.85546875" customWidth="1"/>
    <col min="7" max="7" width="16" customWidth="1"/>
    <col min="8" max="9" width="15.7109375" customWidth="1"/>
  </cols>
  <sheetData>
    <row r="3" spans="2:9" x14ac:dyDescent="0.25">
      <c r="B3" s="40" t="s">
        <v>258</v>
      </c>
    </row>
    <row r="5" spans="2:9" x14ac:dyDescent="0.25">
      <c r="B5" s="79" t="s">
        <v>220</v>
      </c>
      <c r="C5" s="452" t="s">
        <v>243</v>
      </c>
      <c r="D5" s="452"/>
      <c r="E5" s="452"/>
      <c r="F5" s="452"/>
      <c r="G5" s="69" t="s">
        <v>244</v>
      </c>
    </row>
    <row r="6" spans="2:9" ht="15" customHeight="1" x14ac:dyDescent="0.25">
      <c r="B6" s="80">
        <v>1</v>
      </c>
      <c r="C6" s="468" t="s">
        <v>221</v>
      </c>
      <c r="D6" s="468"/>
      <c r="E6" s="468"/>
      <c r="F6" s="468"/>
      <c r="G6" s="81">
        <f>SUM(I10:I12)</f>
        <v>0</v>
      </c>
    </row>
    <row r="7" spans="2:9" ht="15" customHeight="1" x14ac:dyDescent="0.25">
      <c r="B7" s="80">
        <v>3</v>
      </c>
      <c r="C7" s="467" t="s">
        <v>223</v>
      </c>
      <c r="D7" s="467"/>
      <c r="E7" s="467"/>
      <c r="F7" s="467"/>
      <c r="G7" s="81">
        <f>SUM(I13:I14)</f>
        <v>0</v>
      </c>
    </row>
    <row r="8" spans="2:9" ht="15" customHeight="1" x14ac:dyDescent="0.25"/>
    <row r="9" spans="2:9" x14ac:dyDescent="0.25">
      <c r="B9" s="72" t="s">
        <v>246</v>
      </c>
      <c r="C9" s="74" t="s">
        <v>204</v>
      </c>
      <c r="D9" s="74" t="s">
        <v>68</v>
      </c>
      <c r="E9" s="74" t="s">
        <v>252</v>
      </c>
      <c r="F9" s="74" t="s">
        <v>253</v>
      </c>
      <c r="G9" s="74" t="s">
        <v>254</v>
      </c>
      <c r="H9" s="72" t="s">
        <v>247</v>
      </c>
      <c r="I9" s="72" t="s">
        <v>248</v>
      </c>
    </row>
    <row r="10" spans="2:9" x14ac:dyDescent="0.25">
      <c r="B10" s="4" t="s">
        <v>255</v>
      </c>
      <c r="C10" s="73">
        <v>538.36</v>
      </c>
      <c r="D10" s="73">
        <v>113.14</v>
      </c>
      <c r="E10" s="52">
        <v>7</v>
      </c>
      <c r="F10" s="75"/>
      <c r="G10" s="52"/>
      <c r="H10" s="277">
        <v>4.0000000000000001E-3</v>
      </c>
      <c r="I10" s="278" t="str">
        <f>IFERROR(IF(CONTRA=GENERAL!B107,IF(C10&gt;=(D10*3),ROUND((C10-(D10*3))*H10*(E10-F10-G10),2),0),""),0)</f>
        <v/>
      </c>
    </row>
    <row r="11" spans="2:9" x14ac:dyDescent="0.25">
      <c r="B11" s="4" t="s">
        <v>256</v>
      </c>
      <c r="C11" s="73">
        <v>538.36</v>
      </c>
      <c r="D11" s="472"/>
      <c r="E11" s="52">
        <v>7</v>
      </c>
      <c r="F11" s="75"/>
      <c r="G11" s="52"/>
      <c r="H11" s="279">
        <v>3.7499999999999999E-3</v>
      </c>
      <c r="I11" s="278" t="str">
        <f>IFERROR(IF(CONTRA=GENERAL!$B$107,ROUND(C11*H11*(E11-F11-G11),2),""),0)</f>
        <v/>
      </c>
    </row>
    <row r="12" spans="2:9" x14ac:dyDescent="0.25">
      <c r="B12" s="4" t="s">
        <v>257</v>
      </c>
      <c r="C12" s="73">
        <v>538.36</v>
      </c>
      <c r="D12" s="473"/>
      <c r="E12" s="52">
        <v>7</v>
      </c>
      <c r="F12" s="75"/>
      <c r="G12" s="52"/>
      <c r="H12" s="277">
        <v>2.5000000000000001E-3</v>
      </c>
      <c r="I12" s="278" t="str">
        <f>IFERROR(IF(CONTRA=GENERAL!$B$107,ROUND(C12*H12*(E12-F12-G12),2),""),0)</f>
        <v/>
      </c>
    </row>
    <row r="13" spans="2:9" x14ac:dyDescent="0.25">
      <c r="B13" s="4" t="s">
        <v>249</v>
      </c>
      <c r="C13" s="73">
        <v>538.36</v>
      </c>
      <c r="D13" s="473"/>
      <c r="E13" s="52">
        <v>7</v>
      </c>
      <c r="F13" s="52">
        <v>2</v>
      </c>
      <c r="G13" s="52"/>
      <c r="H13" s="279">
        <v>6.2500000000000003E-3</v>
      </c>
      <c r="I13" s="278" t="str">
        <f>IFERROR(IF(CONTRA=GENERAL!$B$107,ROUND(C13*H13*(E13-F13-G13),2),""),0)</f>
        <v/>
      </c>
    </row>
    <row r="14" spans="2:9" x14ac:dyDescent="0.25">
      <c r="B14" s="4" t="s">
        <v>250</v>
      </c>
      <c r="C14" s="73">
        <v>538.36</v>
      </c>
      <c r="D14" s="474"/>
      <c r="E14" s="52">
        <v>7</v>
      </c>
      <c r="F14" s="52"/>
      <c r="G14" s="52"/>
      <c r="H14" s="279">
        <v>1.125E-2</v>
      </c>
      <c r="I14" s="278" t="str">
        <f>IFERROR(IF(CONTRA=GENERAL!$B$107,ROUND(C14*H14*(E14-F14-G14),2),""),0)</f>
        <v/>
      </c>
    </row>
    <row r="15" spans="2:9" x14ac:dyDescent="0.25">
      <c r="H15" s="74" t="s">
        <v>251</v>
      </c>
      <c r="I15" s="76">
        <f>SUM(I10:I14)</f>
        <v>0</v>
      </c>
    </row>
    <row r="17" spans="2:7" x14ac:dyDescent="0.25">
      <c r="B17" s="79" t="s">
        <v>220</v>
      </c>
      <c r="C17" s="424" t="s">
        <v>243</v>
      </c>
      <c r="D17" s="426"/>
      <c r="E17" s="69" t="s">
        <v>244</v>
      </c>
    </row>
    <row r="18" spans="2:7" x14ac:dyDescent="0.25">
      <c r="B18" s="82">
        <v>2</v>
      </c>
      <c r="C18" s="458" t="s">
        <v>222</v>
      </c>
      <c r="D18" s="460"/>
      <c r="E18" s="19" t="str">
        <f>C32</f>
        <v/>
      </c>
    </row>
    <row r="20" spans="2:7" x14ac:dyDescent="0.25">
      <c r="B20" t="s">
        <v>149</v>
      </c>
      <c r="C20" s="51">
        <f ca="1">TODAY()</f>
        <v>46226</v>
      </c>
    </row>
    <row r="21" spans="2:7" x14ac:dyDescent="0.25">
      <c r="B21" t="s">
        <v>147</v>
      </c>
      <c r="C21" s="83">
        <v>380</v>
      </c>
    </row>
    <row r="22" spans="2:7" x14ac:dyDescent="0.25">
      <c r="B22" t="s">
        <v>259</v>
      </c>
      <c r="C22" s="52">
        <v>7</v>
      </c>
    </row>
    <row r="23" spans="2:7" x14ac:dyDescent="0.25">
      <c r="E23" s="40" t="s">
        <v>263</v>
      </c>
    </row>
    <row r="24" spans="2:7" x14ac:dyDescent="0.25">
      <c r="B24" t="s">
        <v>208</v>
      </c>
      <c r="C24" s="12" t="str">
        <f>IFERROR(IF(CONTRA=GENERAL!B107,ROUND(C21*DAY(EOMONTH(C20,0)),2),""),0)</f>
        <v/>
      </c>
      <c r="E24" t="s">
        <v>674</v>
      </c>
      <c r="G24" s="12">
        <f>GENERAL!C30</f>
        <v>11492.66</v>
      </c>
    </row>
    <row r="25" spans="2:7" x14ac:dyDescent="0.25">
      <c r="B25" t="s">
        <v>671</v>
      </c>
      <c r="C25" s="52"/>
      <c r="E25" t="s">
        <v>264</v>
      </c>
      <c r="G25" s="15">
        <v>3439.46</v>
      </c>
    </row>
    <row r="26" spans="2:7" x14ac:dyDescent="0.25">
      <c r="B26" t="s">
        <v>672</v>
      </c>
      <c r="C26" s="15"/>
      <c r="E26" t="s">
        <v>265</v>
      </c>
      <c r="G26" s="245">
        <v>0.15590000000000001</v>
      </c>
    </row>
    <row r="27" spans="2:7" x14ac:dyDescent="0.25">
      <c r="B27" t="s">
        <v>673</v>
      </c>
      <c r="C27" s="12" t="str">
        <f>IFERROR(C24+C25-C26,"")</f>
        <v/>
      </c>
      <c r="E27" t="s">
        <v>266</v>
      </c>
      <c r="G27" s="157">
        <f>IFERROR(ROUND(G25*G26,2),"")</f>
        <v>536.21</v>
      </c>
    </row>
    <row r="28" spans="2:7" x14ac:dyDescent="0.25">
      <c r="B28" t="s">
        <v>675</v>
      </c>
      <c r="C28" s="52"/>
      <c r="E28" t="s">
        <v>261</v>
      </c>
      <c r="G28" s="157">
        <v>30.4</v>
      </c>
    </row>
    <row r="29" spans="2:7" x14ac:dyDescent="0.25">
      <c r="E29" t="s">
        <v>260</v>
      </c>
      <c r="G29" s="157">
        <f>IFERROR(IF(C22&lt;&gt;"",C22,""),"")</f>
        <v>7</v>
      </c>
    </row>
    <row r="30" spans="2:7" x14ac:dyDescent="0.25">
      <c r="B30" t="s">
        <v>676</v>
      </c>
      <c r="C30" s="274" t="str">
        <f>IFERROR(ROUND(((C27-VLOOKUP(C24,TARIFAC,1))*VLOOKUP(C27,TARIFAC,4)%)+VLOOKUP(C27,TARIFAC,3),2),"")</f>
        <v/>
      </c>
      <c r="E30" s="40" t="s">
        <v>262</v>
      </c>
      <c r="F30" s="40"/>
      <c r="G30" s="273">
        <f>IFERROR(IF(G29&lt;30,ROUND(G27/G28*G29,2),G27),"")</f>
        <v>123.47</v>
      </c>
    </row>
    <row r="31" spans="2:7" x14ac:dyDescent="0.25">
      <c r="B31" t="s">
        <v>677</v>
      </c>
      <c r="C31" s="275" t="str">
        <f>IFERROR(IF((C27+C28)&lt;=G24,IF(C30&gt;=G30,G30,C30),0),"")</f>
        <v/>
      </c>
    </row>
    <row r="32" spans="2:7" x14ac:dyDescent="0.25">
      <c r="B32" s="40" t="s">
        <v>206</v>
      </c>
      <c r="C32" s="276" t="str">
        <f>IFERROR(C30-C31,"")</f>
        <v/>
      </c>
    </row>
    <row r="34" spans="2:9" x14ac:dyDescent="0.25">
      <c r="B34" s="79" t="s">
        <v>220</v>
      </c>
      <c r="C34" s="452" t="s">
        <v>243</v>
      </c>
      <c r="D34" s="452"/>
      <c r="E34" s="452"/>
      <c r="F34" s="452"/>
      <c r="G34" s="69" t="s">
        <v>244</v>
      </c>
    </row>
    <row r="35" spans="2:9" x14ac:dyDescent="0.25">
      <c r="B35" s="86">
        <v>4</v>
      </c>
      <c r="C35" s="471" t="s">
        <v>224</v>
      </c>
      <c r="D35" s="471"/>
      <c r="E35" s="471"/>
      <c r="F35" s="471"/>
      <c r="G35" s="85"/>
    </row>
    <row r="36" spans="2:9" ht="56.25" customHeight="1" x14ac:dyDescent="0.25">
      <c r="B36" s="393" t="s">
        <v>773</v>
      </c>
      <c r="C36" s="394"/>
      <c r="D36" s="394"/>
      <c r="E36" s="394"/>
      <c r="F36" s="394"/>
      <c r="G36" s="394"/>
      <c r="H36" s="394"/>
      <c r="I36" s="395"/>
    </row>
    <row r="37" spans="2:9" ht="87" customHeight="1" x14ac:dyDescent="0.25">
      <c r="B37" s="398" t="s">
        <v>774</v>
      </c>
      <c r="C37" s="475"/>
      <c r="D37" s="475"/>
      <c r="E37" s="475"/>
      <c r="F37" s="475"/>
      <c r="G37" s="475"/>
      <c r="H37" s="475"/>
      <c r="I37" s="475"/>
    </row>
    <row r="40" spans="2:9" x14ac:dyDescent="0.25">
      <c r="B40" s="79" t="s">
        <v>220</v>
      </c>
      <c r="C40" s="452" t="s">
        <v>243</v>
      </c>
      <c r="D40" s="452"/>
      <c r="E40" s="452"/>
      <c r="F40" s="452"/>
      <c r="G40" s="69" t="s">
        <v>244</v>
      </c>
    </row>
    <row r="41" spans="2:9" x14ac:dyDescent="0.25">
      <c r="B41" s="86">
        <v>5</v>
      </c>
      <c r="C41" s="471" t="s">
        <v>225</v>
      </c>
      <c r="D41" s="471"/>
      <c r="E41" s="471"/>
      <c r="F41" s="471"/>
      <c r="G41" s="85"/>
    </row>
    <row r="42" spans="2:9" ht="176.25" customHeight="1" x14ac:dyDescent="0.25">
      <c r="B42" s="381" t="s">
        <v>267</v>
      </c>
      <c r="C42" s="359"/>
      <c r="D42" s="359"/>
      <c r="E42" s="359"/>
      <c r="F42" s="359"/>
      <c r="G42" s="359"/>
      <c r="H42" s="359"/>
      <c r="I42" s="359"/>
    </row>
    <row r="45" spans="2:9" x14ac:dyDescent="0.25">
      <c r="B45" s="79" t="s">
        <v>220</v>
      </c>
      <c r="C45" s="452" t="s">
        <v>243</v>
      </c>
      <c r="D45" s="452"/>
      <c r="E45" s="452"/>
      <c r="F45" s="452"/>
      <c r="G45" s="69" t="s">
        <v>244</v>
      </c>
    </row>
    <row r="46" spans="2:9" x14ac:dyDescent="0.25">
      <c r="B46" s="86">
        <v>6</v>
      </c>
      <c r="C46" s="449" t="s">
        <v>226</v>
      </c>
      <c r="D46" s="449"/>
      <c r="E46" s="449"/>
      <c r="F46" s="449"/>
      <c r="G46" s="85"/>
    </row>
    <row r="47" spans="2:9" ht="310.5" customHeight="1" x14ac:dyDescent="0.25">
      <c r="B47" s="464" t="s">
        <v>775</v>
      </c>
      <c r="C47" s="464"/>
      <c r="D47" s="464"/>
      <c r="E47" s="464"/>
      <c r="F47" s="464"/>
      <c r="G47" s="464"/>
      <c r="H47" s="464"/>
      <c r="I47" s="464"/>
    </row>
    <row r="49" spans="2:9" ht="15.75" thickBot="1" x14ac:dyDescent="0.3"/>
    <row r="50" spans="2:9" x14ac:dyDescent="0.25">
      <c r="B50" s="78" t="s">
        <v>220</v>
      </c>
      <c r="C50" s="424" t="s">
        <v>243</v>
      </c>
      <c r="D50" s="425"/>
      <c r="E50" s="426"/>
      <c r="F50" s="79" t="s">
        <v>244</v>
      </c>
    </row>
    <row r="51" spans="2:9" ht="15" customHeight="1" x14ac:dyDescent="0.25">
      <c r="B51" s="80">
        <v>7</v>
      </c>
      <c r="C51" s="458" t="s">
        <v>227</v>
      </c>
      <c r="D51" s="459"/>
      <c r="E51" s="460"/>
      <c r="F51" s="88">
        <f>C59</f>
        <v>1290</v>
      </c>
    </row>
    <row r="52" spans="2:9" ht="143.25" customHeight="1" x14ac:dyDescent="0.25">
      <c r="B52" s="461" t="s">
        <v>268</v>
      </c>
      <c r="C52" s="462"/>
      <c r="D52" s="462"/>
      <c r="E52" s="462"/>
      <c r="F52" s="462"/>
      <c r="G52" s="462"/>
      <c r="H52" s="462"/>
      <c r="I52" s="463"/>
    </row>
    <row r="54" spans="2:9" x14ac:dyDescent="0.25">
      <c r="B54" s="87" t="s">
        <v>246</v>
      </c>
      <c r="C54" s="87" t="s">
        <v>269</v>
      </c>
    </row>
    <row r="55" spans="2:9" x14ac:dyDescent="0.25">
      <c r="B55" t="s">
        <v>270</v>
      </c>
      <c r="C55" s="15">
        <v>7500</v>
      </c>
    </row>
    <row r="56" spans="2:9" x14ac:dyDescent="0.25">
      <c r="B56" t="s">
        <v>271</v>
      </c>
      <c r="C56" s="15">
        <v>750</v>
      </c>
    </row>
    <row r="57" spans="2:9" x14ac:dyDescent="0.25">
      <c r="B57" t="s">
        <v>272</v>
      </c>
      <c r="C57" s="15">
        <v>300</v>
      </c>
    </row>
    <row r="58" spans="2:9" x14ac:dyDescent="0.25">
      <c r="B58" t="s">
        <v>273</v>
      </c>
      <c r="C58" s="274">
        <f>IFERROR(C55-C56-C57,0)</f>
        <v>6450</v>
      </c>
    </row>
    <row r="59" spans="2:9" x14ac:dyDescent="0.25">
      <c r="B59" t="s">
        <v>274</v>
      </c>
      <c r="C59" s="280">
        <f>IFERROR(ROUND(C58*(MID(B59,FIND("(",B59)+1,FIND("%",B59)-FIND("(",B59))),2),"")</f>
        <v>1290</v>
      </c>
    </row>
    <row r="60" spans="2:9" x14ac:dyDescent="0.25">
      <c r="B60" s="40" t="s">
        <v>275</v>
      </c>
      <c r="C60" s="276">
        <f>IFERROR(C58-C59,"")</f>
        <v>5160</v>
      </c>
    </row>
    <row r="62" spans="2:9" ht="15.75" thickBot="1" x14ac:dyDescent="0.3"/>
    <row r="63" spans="2:9" x14ac:dyDescent="0.25">
      <c r="B63" s="78" t="s">
        <v>220</v>
      </c>
      <c r="C63" s="424" t="s">
        <v>243</v>
      </c>
      <c r="D63" s="425"/>
      <c r="E63" s="426"/>
      <c r="F63" s="79" t="s">
        <v>244</v>
      </c>
    </row>
    <row r="64" spans="2:9" x14ac:dyDescent="0.25">
      <c r="B64" s="86">
        <v>8</v>
      </c>
      <c r="C64" s="458" t="s">
        <v>228</v>
      </c>
      <c r="D64" s="459"/>
      <c r="E64" s="460"/>
      <c r="F64" s="89"/>
    </row>
    <row r="65" spans="2:9" ht="93.75" customHeight="1" x14ac:dyDescent="0.25">
      <c r="B65" s="393" t="s">
        <v>776</v>
      </c>
      <c r="C65" s="394"/>
      <c r="D65" s="394"/>
      <c r="E65" s="394"/>
      <c r="F65" s="394"/>
      <c r="G65" s="394"/>
      <c r="H65" s="394"/>
      <c r="I65" s="395"/>
    </row>
    <row r="68" spans="2:9" x14ac:dyDescent="0.25">
      <c r="B68" s="79" t="s">
        <v>220</v>
      </c>
      <c r="C68" s="452" t="s">
        <v>243</v>
      </c>
      <c r="D68" s="452"/>
      <c r="E68" s="452"/>
      <c r="F68" s="452"/>
      <c r="G68" s="452"/>
      <c r="H68" s="452"/>
      <c r="I68" s="79" t="s">
        <v>244</v>
      </c>
    </row>
    <row r="69" spans="2:9" x14ac:dyDescent="0.25">
      <c r="B69" s="77">
        <v>9</v>
      </c>
      <c r="C69" s="457" t="s">
        <v>229</v>
      </c>
      <c r="D69" s="457"/>
      <c r="E69" s="457"/>
      <c r="F69" s="457"/>
      <c r="G69" s="457"/>
      <c r="H69" s="457"/>
      <c r="I69" s="89"/>
    </row>
    <row r="71" spans="2:9" x14ac:dyDescent="0.25">
      <c r="B71" s="40" t="s">
        <v>295</v>
      </c>
    </row>
    <row r="72" spans="2:9" x14ac:dyDescent="0.25">
      <c r="B72" s="61" t="s">
        <v>276</v>
      </c>
    </row>
    <row r="74" spans="2:9" ht="35.25" customHeight="1" x14ac:dyDescent="0.25">
      <c r="C74" s="469" t="s">
        <v>277</v>
      </c>
      <c r="D74" s="469"/>
      <c r="E74" s="470" t="s">
        <v>278</v>
      </c>
      <c r="F74" s="470"/>
      <c r="G74" s="470"/>
    </row>
    <row r="75" spans="2:9" x14ac:dyDescent="0.25">
      <c r="C75" s="469"/>
      <c r="D75" s="469"/>
      <c r="E75" s="94">
        <v>0.2</v>
      </c>
      <c r="F75" s="94">
        <v>0.25</v>
      </c>
      <c r="G75" s="94">
        <v>0.3</v>
      </c>
    </row>
    <row r="76" spans="2:9" x14ac:dyDescent="0.25">
      <c r="C76" s="92">
        <v>1</v>
      </c>
      <c r="D76" s="92">
        <v>2.5</v>
      </c>
      <c r="E76" s="93">
        <v>0.157</v>
      </c>
      <c r="F76" s="93">
        <v>0.19600000000000001</v>
      </c>
      <c r="G76" s="93">
        <v>0.246</v>
      </c>
    </row>
    <row r="77" spans="2:9" x14ac:dyDescent="0.25">
      <c r="C77" s="4">
        <f>D76+0.01</f>
        <v>2.5099999999999998</v>
      </c>
      <c r="D77" s="4">
        <v>3.5</v>
      </c>
      <c r="E77" s="91">
        <v>0.16800000000000001</v>
      </c>
      <c r="F77" s="91">
        <v>0.21</v>
      </c>
      <c r="G77" s="91">
        <v>0.26</v>
      </c>
    </row>
    <row r="78" spans="2:9" x14ac:dyDescent="0.25">
      <c r="C78" s="92">
        <f t="shared" ref="C78:C81" si="0">D77+0.01</f>
        <v>3.51</v>
      </c>
      <c r="D78" s="92">
        <v>4.5</v>
      </c>
      <c r="E78" s="93">
        <v>0.17199999999999999</v>
      </c>
      <c r="F78" s="93">
        <v>0.215</v>
      </c>
      <c r="G78" s="93">
        <v>0.26500000000000001</v>
      </c>
    </row>
    <row r="79" spans="2:9" x14ac:dyDescent="0.25">
      <c r="C79" s="4">
        <f t="shared" si="0"/>
        <v>4.51</v>
      </c>
      <c r="D79" s="4">
        <v>5.5</v>
      </c>
      <c r="E79" s="91">
        <v>0.17699999999999999</v>
      </c>
      <c r="F79" s="91">
        <v>0.221</v>
      </c>
      <c r="G79" s="91">
        <v>0.27010000000000001</v>
      </c>
    </row>
    <row r="80" spans="2:9" x14ac:dyDescent="0.25">
      <c r="C80" s="92">
        <f t="shared" si="0"/>
        <v>5.51</v>
      </c>
      <c r="D80" s="92">
        <v>6.5</v>
      </c>
      <c r="E80" s="93">
        <v>0.17799999999999999</v>
      </c>
      <c r="F80" s="93">
        <v>0.223</v>
      </c>
      <c r="G80" s="93">
        <v>0.27300000000000002</v>
      </c>
    </row>
    <row r="81" spans="2:7" x14ac:dyDescent="0.25">
      <c r="C81" s="4">
        <f t="shared" si="0"/>
        <v>6.51</v>
      </c>
      <c r="D81" s="4" t="s">
        <v>279</v>
      </c>
      <c r="E81" s="91">
        <v>0.2</v>
      </c>
      <c r="F81" s="91">
        <v>0.25</v>
      </c>
      <c r="G81" s="91">
        <v>0.3</v>
      </c>
    </row>
    <row r="83" spans="2:7" x14ac:dyDescent="0.25">
      <c r="B83" t="s">
        <v>280</v>
      </c>
      <c r="C83" s="15">
        <v>865</v>
      </c>
    </row>
    <row r="84" spans="2:7" x14ac:dyDescent="0.25">
      <c r="B84" t="s">
        <v>281</v>
      </c>
      <c r="C84" s="15">
        <v>278.8</v>
      </c>
    </row>
    <row r="85" spans="2:7" x14ac:dyDescent="0.25">
      <c r="B85" t="s">
        <v>283</v>
      </c>
      <c r="C85" s="66">
        <v>0.3</v>
      </c>
    </row>
    <row r="86" spans="2:7" x14ac:dyDescent="0.25">
      <c r="B86" t="s">
        <v>285</v>
      </c>
      <c r="C86" s="52">
        <v>61</v>
      </c>
    </row>
    <row r="87" spans="2:7" x14ac:dyDescent="0.25">
      <c r="B87" t="s">
        <v>282</v>
      </c>
      <c r="C87">
        <f>IFERROR(ROUND(C83/C84,2),"")</f>
        <v>3.1</v>
      </c>
    </row>
    <row r="88" spans="2:7" x14ac:dyDescent="0.25">
      <c r="B88" t="s">
        <v>284</v>
      </c>
      <c r="C88" s="90">
        <f>IFERROR(VLOOKUP(C87,$C$76:$G$81,IF(C85=20%,3,IF(C85=25%,4,5))),"")</f>
        <v>0.26</v>
      </c>
    </row>
    <row r="90" spans="2:7" x14ac:dyDescent="0.25">
      <c r="B90" t="str">
        <f>B83</f>
        <v>Salario base de aportación</v>
      </c>
      <c r="C90" s="12">
        <f>C83</f>
        <v>865</v>
      </c>
    </row>
    <row r="91" spans="2:7" x14ac:dyDescent="0.25">
      <c r="B91" t="s">
        <v>286</v>
      </c>
      <c r="C91" s="95">
        <f>C88</f>
        <v>0.26</v>
      </c>
    </row>
    <row r="92" spans="2:7" x14ac:dyDescent="0.25">
      <c r="B92" t="s">
        <v>287</v>
      </c>
      <c r="C92" s="12">
        <f>IFERROR(ROUND(C90*C91,2),"")</f>
        <v>224.9</v>
      </c>
    </row>
    <row r="93" spans="2:7" x14ac:dyDescent="0.25">
      <c r="B93" t="s">
        <v>288</v>
      </c>
      <c r="C93" s="84">
        <f>C86</f>
        <v>61</v>
      </c>
    </row>
    <row r="94" spans="2:7" x14ac:dyDescent="0.25">
      <c r="B94" t="s">
        <v>289</v>
      </c>
      <c r="C94" s="12">
        <f>IFERROR(ROUND(C92*C93,2),"")</f>
        <v>13718.9</v>
      </c>
    </row>
    <row r="95" spans="2:7" x14ac:dyDescent="0.25">
      <c r="B95" t="s">
        <v>290</v>
      </c>
      <c r="C95" s="68">
        <v>15</v>
      </c>
    </row>
    <row r="96" spans="2:7" x14ac:dyDescent="0.25">
      <c r="B96" s="40" t="s">
        <v>291</v>
      </c>
      <c r="C96" s="13">
        <f>IFERROR(C94+C95,"")</f>
        <v>13733.9</v>
      </c>
    </row>
    <row r="98" spans="2:5" ht="36" customHeight="1" x14ac:dyDescent="0.25">
      <c r="B98" s="465" t="s">
        <v>292</v>
      </c>
      <c r="C98" s="465"/>
      <c r="D98" s="465"/>
      <c r="E98" s="465"/>
    </row>
    <row r="100" spans="2:5" x14ac:dyDescent="0.25">
      <c r="B100" s="61" t="s">
        <v>293</v>
      </c>
    </row>
    <row r="102" spans="2:5" x14ac:dyDescent="0.25">
      <c r="B102" t="s">
        <v>280</v>
      </c>
      <c r="C102" s="12">
        <f>C83</f>
        <v>865</v>
      </c>
    </row>
    <row r="103" spans="2:5" x14ac:dyDescent="0.25">
      <c r="B103" t="s">
        <v>294</v>
      </c>
      <c r="C103" s="95">
        <f>C85</f>
        <v>0.3</v>
      </c>
    </row>
    <row r="104" spans="2:5" x14ac:dyDescent="0.25">
      <c r="B104" t="s">
        <v>287</v>
      </c>
      <c r="C104" s="12">
        <f>IFERROR(ROUND(C102*C103,2),"")</f>
        <v>259.5</v>
      </c>
    </row>
    <row r="105" spans="2:5" x14ac:dyDescent="0.25">
      <c r="B105" t="s">
        <v>288</v>
      </c>
      <c r="C105" s="84">
        <f>C86</f>
        <v>61</v>
      </c>
    </row>
    <row r="106" spans="2:5" x14ac:dyDescent="0.25">
      <c r="B106" t="s">
        <v>289</v>
      </c>
      <c r="C106" s="12">
        <f>IFERROR(ROUND(C104*C105,2),"")</f>
        <v>15829.5</v>
      </c>
    </row>
    <row r="107" spans="2:5" x14ac:dyDescent="0.25">
      <c r="B107" t="s">
        <v>290</v>
      </c>
      <c r="C107" s="68">
        <v>15</v>
      </c>
    </row>
    <row r="108" spans="2:5" x14ac:dyDescent="0.25">
      <c r="B108" s="40" t="s">
        <v>291</v>
      </c>
      <c r="C108" s="13">
        <f>IFERROR(C106+C107,"")</f>
        <v>15844.5</v>
      </c>
    </row>
    <row r="110" spans="2:5" x14ac:dyDescent="0.25">
      <c r="B110" s="40" t="s">
        <v>296</v>
      </c>
    </row>
    <row r="112" spans="2:5" x14ac:dyDescent="0.25">
      <c r="B112" t="s">
        <v>297</v>
      </c>
      <c r="C112" s="98">
        <v>1300</v>
      </c>
    </row>
    <row r="113" spans="2:5" x14ac:dyDescent="0.25">
      <c r="B113" t="s">
        <v>298</v>
      </c>
      <c r="C113" s="97">
        <v>2</v>
      </c>
    </row>
    <row r="114" spans="2:5" x14ac:dyDescent="0.25">
      <c r="B114" t="s">
        <v>289</v>
      </c>
      <c r="C114" s="12">
        <f>IFERROR(C112*C113,"")</f>
        <v>2600</v>
      </c>
    </row>
    <row r="115" spans="2:5" x14ac:dyDescent="0.25">
      <c r="B115" t="s">
        <v>299</v>
      </c>
      <c r="C115" s="99">
        <v>59</v>
      </c>
    </row>
    <row r="116" spans="2:5" x14ac:dyDescent="0.25">
      <c r="B116" t="s">
        <v>207</v>
      </c>
      <c r="C116">
        <f>IFERROR(ROUND(C114/C115,2),"")</f>
        <v>44.07</v>
      </c>
    </row>
    <row r="117" spans="2:5" x14ac:dyDescent="0.25">
      <c r="B117" t="s">
        <v>288</v>
      </c>
      <c r="C117" s="99">
        <v>59</v>
      </c>
    </row>
    <row r="118" spans="2:5" x14ac:dyDescent="0.25">
      <c r="B118" t="s">
        <v>289</v>
      </c>
      <c r="C118" s="12">
        <f>IFERROR(ROUND(C116*C117,2),"")</f>
        <v>2600.13</v>
      </c>
    </row>
    <row r="119" spans="2:5" x14ac:dyDescent="0.25">
      <c r="B119" t="s">
        <v>300</v>
      </c>
      <c r="C119" s="100">
        <v>15</v>
      </c>
    </row>
    <row r="120" spans="2:5" x14ac:dyDescent="0.25">
      <c r="B120" s="40" t="s">
        <v>291</v>
      </c>
      <c r="C120" s="13">
        <f>IFERROR(C118+C119,"")</f>
        <v>2615.13</v>
      </c>
    </row>
    <row r="122" spans="2:5" ht="90.75" customHeight="1" x14ac:dyDescent="0.25">
      <c r="B122" s="466" t="s">
        <v>301</v>
      </c>
      <c r="C122" s="466"/>
      <c r="D122" s="466"/>
      <c r="E122" s="466"/>
    </row>
    <row r="124" spans="2:5" x14ac:dyDescent="0.25">
      <c r="B124" s="40" t="s">
        <v>303</v>
      </c>
    </row>
    <row r="125" spans="2:5" x14ac:dyDescent="0.25">
      <c r="B125" s="40"/>
    </row>
    <row r="126" spans="2:5" x14ac:dyDescent="0.25">
      <c r="B126" t="s">
        <v>302</v>
      </c>
      <c r="C126" s="102">
        <v>26.678999999999998</v>
      </c>
    </row>
    <row r="127" spans="2:5" x14ac:dyDescent="0.25">
      <c r="B127" t="s">
        <v>304</v>
      </c>
      <c r="C127" s="15">
        <v>100.81</v>
      </c>
    </row>
    <row r="128" spans="2:5" x14ac:dyDescent="0.25">
      <c r="B128" t="s">
        <v>305</v>
      </c>
      <c r="C128" s="12">
        <f>IFERROR(ROUND(C126*C127,2),"")</f>
        <v>2689.51</v>
      </c>
    </row>
    <row r="129" spans="2:5" x14ac:dyDescent="0.25">
      <c r="B129" t="s">
        <v>298</v>
      </c>
      <c r="C129" s="101">
        <v>2</v>
      </c>
    </row>
    <row r="130" spans="2:5" x14ac:dyDescent="0.25">
      <c r="B130" t="s">
        <v>306</v>
      </c>
      <c r="C130" s="12">
        <f>IFERROR(ROUND(C128*C129,2),"")</f>
        <v>5379.02</v>
      </c>
    </row>
    <row r="131" spans="2:5" x14ac:dyDescent="0.25">
      <c r="B131" t="s">
        <v>299</v>
      </c>
      <c r="C131" s="52">
        <v>59</v>
      </c>
    </row>
    <row r="132" spans="2:5" x14ac:dyDescent="0.25">
      <c r="B132" t="s">
        <v>307</v>
      </c>
      <c r="C132" s="101">
        <f>IFERROR(ROUND(C130/C131,2),"")</f>
        <v>91.17</v>
      </c>
    </row>
    <row r="133" spans="2:5" x14ac:dyDescent="0.25">
      <c r="B133" t="s">
        <v>288</v>
      </c>
      <c r="C133" s="102">
        <v>59</v>
      </c>
    </row>
    <row r="134" spans="2:5" x14ac:dyDescent="0.25">
      <c r="B134" t="s">
        <v>289</v>
      </c>
      <c r="C134" s="12">
        <f>IFERROR(ROUND(C132*C133,2),"")</f>
        <v>5379.03</v>
      </c>
    </row>
    <row r="135" spans="2:5" x14ac:dyDescent="0.25">
      <c r="B135" t="s">
        <v>300</v>
      </c>
      <c r="C135" s="12">
        <v>15</v>
      </c>
    </row>
    <row r="136" spans="2:5" x14ac:dyDescent="0.25">
      <c r="B136" s="40" t="s">
        <v>308</v>
      </c>
      <c r="C136" s="13">
        <f>IFERROR(C134+C135,0)</f>
        <v>5394.03</v>
      </c>
    </row>
    <row r="137" spans="2:5" x14ac:dyDescent="0.25">
      <c r="C137" s="96"/>
    </row>
    <row r="138" spans="2:5" ht="68.25" customHeight="1" x14ac:dyDescent="0.25">
      <c r="B138" s="455" t="s">
        <v>309</v>
      </c>
      <c r="C138" s="456"/>
      <c r="D138" s="456"/>
      <c r="E138" s="456"/>
    </row>
    <row r="139" spans="2:5" x14ac:dyDescent="0.25">
      <c r="C139" s="96"/>
    </row>
    <row r="140" spans="2:5" x14ac:dyDescent="0.25">
      <c r="B140" t="s">
        <v>302</v>
      </c>
      <c r="C140" s="102">
        <v>26.678999999999998</v>
      </c>
    </row>
    <row r="141" spans="2:5" x14ac:dyDescent="0.25">
      <c r="B141" t="s">
        <v>310</v>
      </c>
      <c r="C141" s="15">
        <v>278.8</v>
      </c>
    </row>
    <row r="142" spans="2:5" x14ac:dyDescent="0.25">
      <c r="B142" t="s">
        <v>305</v>
      </c>
      <c r="C142" s="12">
        <f>IFERROR(ROUND(C140*C141,2),"")</f>
        <v>7438.11</v>
      </c>
    </row>
    <row r="143" spans="2:5" x14ac:dyDescent="0.25">
      <c r="B143" t="s">
        <v>298</v>
      </c>
      <c r="C143" s="97">
        <v>2</v>
      </c>
    </row>
    <row r="144" spans="2:5" x14ac:dyDescent="0.25">
      <c r="B144" t="s">
        <v>306</v>
      </c>
      <c r="C144" s="12">
        <f>IFERROR(ROUND(C142*C143,2),"")</f>
        <v>14876.22</v>
      </c>
    </row>
    <row r="145" spans="2:10" x14ac:dyDescent="0.25">
      <c r="B145" t="s">
        <v>299</v>
      </c>
      <c r="C145" s="52">
        <v>59</v>
      </c>
    </row>
    <row r="146" spans="2:10" x14ac:dyDescent="0.25">
      <c r="B146" t="s">
        <v>307</v>
      </c>
      <c r="C146" s="101">
        <f>IFERROR(ROUND(C144/C145,2),"")</f>
        <v>252.14</v>
      </c>
    </row>
    <row r="147" spans="2:10" x14ac:dyDescent="0.25">
      <c r="B147" t="s">
        <v>288</v>
      </c>
      <c r="C147" s="102">
        <v>59</v>
      </c>
    </row>
    <row r="148" spans="2:10" x14ac:dyDescent="0.25">
      <c r="B148" t="s">
        <v>289</v>
      </c>
      <c r="C148" s="12">
        <f>IFERROR(ROUND(C146*C147,2),"")</f>
        <v>14876.26</v>
      </c>
    </row>
    <row r="149" spans="2:10" x14ac:dyDescent="0.25">
      <c r="B149" t="s">
        <v>300</v>
      </c>
      <c r="C149" s="12">
        <v>15</v>
      </c>
    </row>
    <row r="150" spans="2:10" x14ac:dyDescent="0.25">
      <c r="B150" s="40" t="s">
        <v>308</v>
      </c>
      <c r="C150" s="13">
        <f>IFERROR(C148+C149,0)</f>
        <v>14891.26</v>
      </c>
    </row>
    <row r="152" spans="2:10" ht="15.75" thickBot="1" x14ac:dyDescent="0.3"/>
    <row r="153" spans="2:10" x14ac:dyDescent="0.25">
      <c r="B153" s="78" t="s">
        <v>220</v>
      </c>
      <c r="C153" s="452" t="s">
        <v>243</v>
      </c>
      <c r="D153" s="452"/>
      <c r="E153" s="452"/>
      <c r="F153" s="452"/>
      <c r="G153" s="79" t="s">
        <v>244</v>
      </c>
    </row>
    <row r="154" spans="2:10" x14ac:dyDescent="0.25">
      <c r="B154" s="86">
        <v>8</v>
      </c>
      <c r="C154" s="449" t="s">
        <v>230</v>
      </c>
      <c r="D154" s="449"/>
      <c r="E154" s="449"/>
      <c r="F154" s="449"/>
      <c r="G154" s="89"/>
    </row>
    <row r="155" spans="2:10" ht="138.75" customHeight="1" x14ac:dyDescent="0.25">
      <c r="B155" s="359" t="s">
        <v>312</v>
      </c>
      <c r="C155" s="360"/>
      <c r="D155" s="360"/>
      <c r="E155" s="360"/>
      <c r="F155" s="360"/>
      <c r="G155" s="360"/>
      <c r="H155" s="360"/>
      <c r="I155" s="360"/>
      <c r="J155" s="360"/>
    </row>
    <row r="157" spans="2:10" x14ac:dyDescent="0.25">
      <c r="B157" s="40" t="s">
        <v>313</v>
      </c>
    </row>
    <row r="158" spans="2:10" x14ac:dyDescent="0.25">
      <c r="B158" t="s">
        <v>314</v>
      </c>
    </row>
    <row r="159" spans="2:10" ht="15.75" thickBot="1" x14ac:dyDescent="0.3"/>
    <row r="160" spans="2:10" x14ac:dyDescent="0.25">
      <c r="B160" s="70" t="s">
        <v>311</v>
      </c>
      <c r="C160" s="450" t="s">
        <v>1</v>
      </c>
      <c r="D160" s="450"/>
      <c r="E160" s="450"/>
      <c r="F160" s="450"/>
      <c r="G160" s="79" t="s">
        <v>244</v>
      </c>
    </row>
    <row r="161" spans="2:10" x14ac:dyDescent="0.25">
      <c r="B161" s="86">
        <v>11</v>
      </c>
      <c r="C161" s="449" t="s">
        <v>231</v>
      </c>
      <c r="D161" s="449"/>
      <c r="E161" s="449"/>
      <c r="F161" s="449"/>
      <c r="G161" s="89"/>
    </row>
    <row r="162" spans="2:10" ht="126" customHeight="1" x14ac:dyDescent="0.25">
      <c r="B162" s="359" t="s">
        <v>315</v>
      </c>
      <c r="C162" s="360"/>
      <c r="D162" s="360"/>
      <c r="E162" s="360"/>
      <c r="F162" s="360"/>
      <c r="G162" s="360"/>
      <c r="H162" s="360"/>
      <c r="I162" s="360"/>
      <c r="J162" s="360"/>
    </row>
    <row r="164" spans="2:10" ht="15.75" thickBot="1" x14ac:dyDescent="0.3"/>
    <row r="165" spans="2:10" x14ac:dyDescent="0.25">
      <c r="B165" s="78" t="s">
        <v>220</v>
      </c>
      <c r="C165" s="452" t="s">
        <v>243</v>
      </c>
      <c r="D165" s="452"/>
      <c r="E165" s="452"/>
      <c r="F165" s="452"/>
      <c r="G165" s="79" t="s">
        <v>244</v>
      </c>
    </row>
    <row r="166" spans="2:10" x14ac:dyDescent="0.25">
      <c r="B166" s="80">
        <v>12</v>
      </c>
      <c r="C166" s="451" t="s">
        <v>96</v>
      </c>
      <c r="D166" s="451"/>
      <c r="E166" s="451"/>
      <c r="F166" s="451"/>
      <c r="G166" s="89"/>
    </row>
    <row r="167" spans="2:10" x14ac:dyDescent="0.25">
      <c r="B167" s="80">
        <v>13</v>
      </c>
      <c r="C167" s="451" t="s">
        <v>97</v>
      </c>
      <c r="D167" s="451"/>
      <c r="E167" s="451"/>
      <c r="F167" s="451"/>
      <c r="G167" s="89"/>
    </row>
    <row r="168" spans="2:10" x14ac:dyDescent="0.25">
      <c r="B168" s="80">
        <v>14</v>
      </c>
      <c r="C168" s="451" t="s">
        <v>232</v>
      </c>
      <c r="D168" s="451"/>
      <c r="E168" s="451"/>
      <c r="F168" s="451"/>
      <c r="G168" s="89"/>
    </row>
    <row r="169" spans="2:10" x14ac:dyDescent="0.25">
      <c r="B169" s="80">
        <v>15</v>
      </c>
      <c r="C169" s="451" t="s">
        <v>233</v>
      </c>
      <c r="D169" s="451"/>
      <c r="E169" s="451"/>
      <c r="F169" s="451"/>
      <c r="G169" s="89"/>
    </row>
    <row r="170" spans="2:10" x14ac:dyDescent="0.25">
      <c r="B170" s="80">
        <v>16</v>
      </c>
      <c r="C170" s="451" t="s">
        <v>234</v>
      </c>
      <c r="D170" s="451"/>
      <c r="E170" s="451"/>
      <c r="F170" s="451"/>
      <c r="G170" s="89"/>
    </row>
    <row r="171" spans="2:10" x14ac:dyDescent="0.25">
      <c r="B171" s="86">
        <v>17</v>
      </c>
      <c r="C171" s="449" t="s">
        <v>235</v>
      </c>
      <c r="D171" s="449"/>
      <c r="E171" s="449"/>
      <c r="F171" s="449"/>
      <c r="G171" s="89"/>
    </row>
    <row r="172" spans="2:10" ht="66" customHeight="1" x14ac:dyDescent="0.25">
      <c r="B172" s="453" t="s">
        <v>316</v>
      </c>
      <c r="C172" s="454"/>
      <c r="D172" s="454"/>
      <c r="E172" s="454"/>
      <c r="F172" s="454"/>
      <c r="G172" s="454"/>
      <c r="H172" s="454"/>
      <c r="I172" s="454"/>
      <c r="J172" s="454"/>
    </row>
    <row r="174" spans="2:10" x14ac:dyDescent="0.25">
      <c r="B174" s="105" t="s">
        <v>317</v>
      </c>
      <c r="C174" s="106">
        <v>12</v>
      </c>
      <c r="D174" t="str">
        <f>IFERROR(VLOOKUP(C174,$B$166:$F$171,2,FALSE),"")</f>
        <v>Anticipo de salarios</v>
      </c>
    </row>
    <row r="175" spans="2:10" x14ac:dyDescent="0.25">
      <c r="B175" t="s">
        <v>82</v>
      </c>
      <c r="C175" s="15">
        <v>278.8</v>
      </c>
    </row>
    <row r="176" spans="2:10" x14ac:dyDescent="0.25">
      <c r="B176" s="105" t="s">
        <v>147</v>
      </c>
      <c r="C176" s="15">
        <v>500</v>
      </c>
    </row>
    <row r="177" spans="2:10" x14ac:dyDescent="0.25">
      <c r="B177" s="105" t="s">
        <v>320</v>
      </c>
      <c r="C177" s="52">
        <v>7</v>
      </c>
    </row>
    <row r="178" spans="2:10" x14ac:dyDescent="0.25">
      <c r="B178" s="105" t="s">
        <v>321</v>
      </c>
      <c r="C178" s="281">
        <f>IFERROR(ROUND(C176*C177,2),0)</f>
        <v>3500</v>
      </c>
    </row>
    <row r="179" spans="2:10" x14ac:dyDescent="0.25">
      <c r="B179" s="105" t="s">
        <v>318</v>
      </c>
      <c r="C179" s="282">
        <f>IFERROR(ROUND(C175*C177,2),0)</f>
        <v>1951.6</v>
      </c>
    </row>
    <row r="180" spans="2:10" x14ac:dyDescent="0.25">
      <c r="B180" s="105" t="s">
        <v>319</v>
      </c>
      <c r="C180" s="281">
        <f>IFERROR(C178-C179,0)</f>
        <v>1548.4</v>
      </c>
    </row>
    <row r="181" spans="2:10" x14ac:dyDescent="0.25">
      <c r="B181" s="105" t="s">
        <v>322</v>
      </c>
      <c r="C181" s="283">
        <v>0.3</v>
      </c>
    </row>
    <row r="182" spans="2:10" x14ac:dyDescent="0.25">
      <c r="B182" s="50" t="s">
        <v>323</v>
      </c>
      <c r="C182" s="284">
        <f>IFERROR(ROUND(C180*C181,0),0)</f>
        <v>465</v>
      </c>
    </row>
    <row r="183" spans="2:10" ht="15.75" thickBot="1" x14ac:dyDescent="0.3">
      <c r="B183" s="105"/>
    </row>
    <row r="184" spans="2:10" x14ac:dyDescent="0.25">
      <c r="B184" s="78" t="s">
        <v>220</v>
      </c>
      <c r="C184" s="452" t="s">
        <v>243</v>
      </c>
      <c r="D184" s="452"/>
      <c r="E184" s="452"/>
      <c r="F184" s="452"/>
      <c r="G184" s="79" t="s">
        <v>244</v>
      </c>
    </row>
    <row r="185" spans="2:10" x14ac:dyDescent="0.25">
      <c r="B185" s="80">
        <v>18</v>
      </c>
      <c r="C185" s="451" t="s">
        <v>236</v>
      </c>
      <c r="D185" s="451"/>
      <c r="E185" s="451"/>
      <c r="F185" s="451"/>
      <c r="G185" s="89"/>
    </row>
    <row r="186" spans="2:10" x14ac:dyDescent="0.25">
      <c r="B186" s="80">
        <v>19</v>
      </c>
      <c r="C186" s="451" t="s">
        <v>237</v>
      </c>
      <c r="D186" s="451"/>
      <c r="E186" s="451"/>
      <c r="F186" s="451"/>
      <c r="G186" s="89"/>
    </row>
    <row r="187" spans="2:10" ht="130.5" customHeight="1" x14ac:dyDescent="0.25">
      <c r="B187" s="359" t="s">
        <v>324</v>
      </c>
      <c r="C187" s="360"/>
      <c r="D187" s="360"/>
      <c r="E187" s="360"/>
      <c r="F187" s="360"/>
      <c r="G187" s="360"/>
      <c r="H187" s="360"/>
      <c r="I187" s="360"/>
      <c r="J187" s="360"/>
    </row>
    <row r="189" spans="2:10" ht="15.75" thickBot="1" x14ac:dyDescent="0.3"/>
    <row r="190" spans="2:10" x14ac:dyDescent="0.25">
      <c r="B190" s="70" t="s">
        <v>311</v>
      </c>
      <c r="C190" s="450" t="s">
        <v>1</v>
      </c>
      <c r="D190" s="450"/>
      <c r="E190" s="450"/>
      <c r="F190" s="450"/>
      <c r="G190" s="79" t="s">
        <v>244</v>
      </c>
    </row>
    <row r="191" spans="2:10" x14ac:dyDescent="0.25">
      <c r="B191" s="80">
        <v>20</v>
      </c>
      <c r="C191" s="451" t="s">
        <v>98</v>
      </c>
      <c r="D191" s="451"/>
      <c r="E191" s="451"/>
      <c r="F191" s="451"/>
      <c r="G191" s="89"/>
    </row>
    <row r="192" spans="2:10" x14ac:dyDescent="0.25">
      <c r="B192" s="80">
        <v>21</v>
      </c>
      <c r="C192" s="451" t="s">
        <v>238</v>
      </c>
      <c r="D192" s="451"/>
      <c r="E192" s="451"/>
      <c r="F192" s="451"/>
      <c r="G192" s="89"/>
    </row>
    <row r="193" spans="2:10" x14ac:dyDescent="0.25">
      <c r="B193" s="80">
        <v>22</v>
      </c>
      <c r="C193" s="451" t="s">
        <v>239</v>
      </c>
      <c r="D193" s="451"/>
      <c r="E193" s="451"/>
      <c r="F193" s="451"/>
      <c r="G193" s="89"/>
    </row>
    <row r="194" spans="2:10" x14ac:dyDescent="0.25">
      <c r="B194" s="86">
        <v>23</v>
      </c>
      <c r="C194" s="449" t="s">
        <v>240</v>
      </c>
      <c r="D194" s="449"/>
      <c r="E194" s="449"/>
      <c r="F194" s="449"/>
      <c r="G194" s="89"/>
    </row>
    <row r="195" spans="2:10" ht="137.25" customHeight="1" x14ac:dyDescent="0.25">
      <c r="B195" s="359" t="s">
        <v>325</v>
      </c>
      <c r="C195" s="360"/>
      <c r="D195" s="360"/>
      <c r="E195" s="360"/>
      <c r="F195" s="360"/>
      <c r="G195" s="360"/>
      <c r="H195" s="360"/>
      <c r="I195" s="360"/>
      <c r="J195" s="360"/>
    </row>
  </sheetData>
  <mergeCells count="53">
    <mergeCell ref="B98:E98"/>
    <mergeCell ref="B122:E122"/>
    <mergeCell ref="C5:F5"/>
    <mergeCell ref="C7:F7"/>
    <mergeCell ref="C6:F6"/>
    <mergeCell ref="C74:D75"/>
    <mergeCell ref="E74:G74"/>
    <mergeCell ref="C17:D17"/>
    <mergeCell ref="C18:D18"/>
    <mergeCell ref="C34:F34"/>
    <mergeCell ref="C35:F35"/>
    <mergeCell ref="D11:D14"/>
    <mergeCell ref="B36:I36"/>
    <mergeCell ref="B37:I37"/>
    <mergeCell ref="C40:F40"/>
    <mergeCell ref="C41:F41"/>
    <mergeCell ref="B42:I42"/>
    <mergeCell ref="B52:I52"/>
    <mergeCell ref="C50:E50"/>
    <mergeCell ref="C51:E51"/>
    <mergeCell ref="C45:F45"/>
    <mergeCell ref="C46:F46"/>
    <mergeCell ref="B47:I47"/>
    <mergeCell ref="C69:H69"/>
    <mergeCell ref="C63:E63"/>
    <mergeCell ref="C64:E64"/>
    <mergeCell ref="B65:I65"/>
    <mergeCell ref="C68:H68"/>
    <mergeCell ref="B138:E138"/>
    <mergeCell ref="C153:F153"/>
    <mergeCell ref="C154:F154"/>
    <mergeCell ref="B155:J155"/>
    <mergeCell ref="C160:F160"/>
    <mergeCell ref="C161:F161"/>
    <mergeCell ref="B162:J162"/>
    <mergeCell ref="C165:F165"/>
    <mergeCell ref="C166:F166"/>
    <mergeCell ref="C167:F167"/>
    <mergeCell ref="C184:F184"/>
    <mergeCell ref="C168:F168"/>
    <mergeCell ref="C169:F169"/>
    <mergeCell ref="C170:F170"/>
    <mergeCell ref="C171:F171"/>
    <mergeCell ref="B172:J172"/>
    <mergeCell ref="C194:F194"/>
    <mergeCell ref="B195:J195"/>
    <mergeCell ref="C190:F190"/>
    <mergeCell ref="C185:F185"/>
    <mergeCell ref="C186:F186"/>
    <mergeCell ref="B187:J187"/>
    <mergeCell ref="C191:F191"/>
    <mergeCell ref="C192:F192"/>
    <mergeCell ref="C193:F193"/>
  </mergeCells>
  <conditionalFormatting sqref="E76:G81">
    <cfRule type="cellIs" dxfId="12" priority="10" operator="equal">
      <formula>$C$88</formula>
    </cfRule>
  </conditionalFormatting>
  <dataValidations count="3">
    <dataValidation type="whole" operator="lessThan" allowBlank="1" showInputMessage="1" showErrorMessage="1" errorTitle="Faltas" error="No se pueden capturar faltas" sqref="F10:F12" xr:uid="{D7BA7F79-5ADB-4C83-8233-91ED88A4EB62}">
      <formula1>0</formula1>
    </dataValidation>
    <dataValidation type="list" allowBlank="1" showInputMessage="1" showErrorMessage="1" errorTitle="Retención INFONAVIT" error="Solo se permiten datos de la lista" sqref="C85" xr:uid="{2228E5D8-4B06-4FF5-A035-F5851B815E7E}">
      <formula1>$E$75:$G$75</formula1>
    </dataValidation>
    <dataValidation type="list" allowBlank="1" showInputMessage="1" showErrorMessage="1" errorTitle="Deducciones" error="Solo se permiten datos de la lista" sqref="C174" xr:uid="{1C0B8B30-68A6-46BB-AAE2-102F38260F9C}">
      <formula1>$B$166:$B$171</formula1>
    </dataValidation>
  </dataValidations>
  <pageMargins left="0.7" right="0.7" top="0.75" bottom="0.75" header="0.3" footer="0.3"/>
  <ignoredErrors>
    <ignoredError sqref="C93 C105" 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5" id="{CE04D38A-3BFF-4A3B-AE21-CC58A7951EFA}">
            <xm:f>IF(CONTRA=GENERAL!B$107,1,0)</xm:f>
            <x14:dxf>
              <font>
                <color theme="1"/>
              </font>
            </x14:dxf>
          </x14:cfRule>
          <xm:sqref>B36:I37 B47:I47 B65:I65</xm:sqref>
        </x14:conditionalFormatting>
        <x14:conditionalFormatting xmlns:xm="http://schemas.microsoft.com/office/excel/2006/main">
          <x14:cfRule type="expression" priority="8" id="{D060809E-BA45-43A6-9B23-220BBAC7E693}">
            <xm:f>IF(CONTRA=GENERAL!B$107,1,0)</xm:f>
            <x14:dxf>
              <font>
                <color theme="1"/>
              </font>
            </x14:dxf>
          </x14:cfRule>
          <xm:sqref>C30:C32 C58:C60 C178:C182</xm:sqref>
        </x14:conditionalFormatting>
        <x14:conditionalFormatting xmlns:xm="http://schemas.microsoft.com/office/excel/2006/main">
          <x14:cfRule type="expression" priority="9" id="{CBEAB329-D2C9-4A0D-A1B9-E032462CC9FD}">
            <xm:f>IF(CONTRA=GENERAL!B$107,1,0)</xm:f>
            <x14:dxf>
              <font>
                <color theme="1"/>
              </font>
            </x14:dxf>
          </x14:cfRule>
          <xm:sqref>G27:G30</xm:sqref>
        </x14:conditionalFormatting>
        <x14:conditionalFormatting xmlns:xm="http://schemas.microsoft.com/office/excel/2006/main">
          <x14:cfRule type="expression" priority="7" id="{3E5CFF93-5499-4CD6-8EC1-2717F18BBA5D}">
            <xm:f>IF(CONTRA=GENERAL!B$107,1,0)</xm:f>
            <x14:dxf>
              <font>
                <color theme="1"/>
              </font>
            </x14:dxf>
          </x14:cfRule>
          <xm:sqref>H10:I14</xm:sqref>
        </x14:conditionalFormatting>
        <x14:conditionalFormatting xmlns:xm="http://schemas.microsoft.com/office/excel/2006/main">
          <x14:cfRule type="expression" priority="6" id="{31BC4503-77D8-4949-8C67-B7F01EDECDE4}">
            <xm:f>IF(CONTRA=GENERAL!B$107,1,0)</xm:f>
            <x14:dxf>
              <font>
                <color theme="1"/>
              </font>
            </x14:dxf>
          </x14:cfRule>
          <xm:sqref>I10:I14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errorTitle="Días" error="Solo se permiten datos de la lista" xr:uid="{44FC427C-B04E-474C-85CA-A33641B9F4AF}">
          <x14:formula1>
            <xm:f>GENERAL!$B$36:$B$66</xm:f>
          </x14:formula1>
          <xm:sqref>E10:E14 C177 C22</xm:sqref>
        </x14:dataValidation>
        <x14:dataValidation type="list" allowBlank="1" showInputMessage="1" showErrorMessage="1" xr:uid="{0490F17C-66CB-4007-9812-51BCC57A5261}">
          <x14:formula1>
            <xm:f>GENERAL!$C$28:$C$29</xm:f>
          </x14:formula1>
          <xm:sqref>G25</xm:sqref>
        </x14:dataValidation>
        <x14:dataValidation type="list" allowBlank="1" showInputMessage="1" showErrorMessage="1" xr:uid="{CEBE6D54-99CF-4249-9AFF-AF51377CC456}">
          <x14:formula1>
            <xm:f>GENERAL!$C$31:$C$32</xm:f>
          </x14:formula1>
          <xm:sqref>G26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537F1-A14E-488B-BD14-5BC9435F77B9}">
  <sheetPr codeName="Hoja16"/>
  <dimension ref="B2:I75"/>
  <sheetViews>
    <sheetView showGridLines="0" zoomScale="120" zoomScaleNormal="120" workbookViewId="0">
      <selection activeCell="E5" sqref="E5"/>
    </sheetView>
  </sheetViews>
  <sheetFormatPr baseColWidth="10" defaultRowHeight="15" x14ac:dyDescent="0.25"/>
  <cols>
    <col min="1" max="1" width="3.140625" customWidth="1"/>
    <col min="2" max="2" width="21.85546875" customWidth="1"/>
    <col min="3" max="3" width="70.5703125" customWidth="1"/>
    <col min="4" max="4" width="16" customWidth="1"/>
    <col min="7" max="7" width="16.7109375" customWidth="1"/>
    <col min="8" max="8" width="15.42578125" customWidth="1"/>
  </cols>
  <sheetData>
    <row r="2" spans="2:8" x14ac:dyDescent="0.25">
      <c r="C2" s="305" t="s">
        <v>750</v>
      </c>
      <c r="D2" s="52"/>
    </row>
    <row r="3" spans="2:8" ht="15.75" thickBot="1" x14ac:dyDescent="0.3">
      <c r="B3" s="40"/>
    </row>
    <row r="4" spans="2:8" x14ac:dyDescent="0.25">
      <c r="B4" s="37" t="s">
        <v>0</v>
      </c>
      <c r="C4" s="78" t="s">
        <v>1</v>
      </c>
      <c r="D4" s="306" t="s">
        <v>439</v>
      </c>
      <c r="E4" s="307" t="s">
        <v>64</v>
      </c>
      <c r="F4" s="308" t="s">
        <v>65</v>
      </c>
      <c r="G4" s="9" t="s">
        <v>205</v>
      </c>
      <c r="H4" s="309" t="s">
        <v>751</v>
      </c>
    </row>
    <row r="5" spans="2:8" x14ac:dyDescent="0.25">
      <c r="B5" s="1">
        <v>1</v>
      </c>
      <c r="C5" s="2" t="s">
        <v>2</v>
      </c>
      <c r="D5" s="310" t="s">
        <v>752</v>
      </c>
      <c r="E5" s="15">
        <v>250000</v>
      </c>
      <c r="F5" s="15"/>
      <c r="G5" s="4" t="s">
        <v>94</v>
      </c>
      <c r="H5" s="4" t="s">
        <v>146</v>
      </c>
    </row>
    <row r="6" spans="2:8" x14ac:dyDescent="0.25">
      <c r="B6" s="1">
        <v>2</v>
      </c>
      <c r="C6" s="2" t="s">
        <v>3</v>
      </c>
      <c r="D6" s="310" t="s">
        <v>752</v>
      </c>
      <c r="E6" s="15">
        <v>5000</v>
      </c>
      <c r="F6" s="15">
        <f>113.14*30</f>
        <v>3394.2</v>
      </c>
      <c r="G6" s="4" t="s">
        <v>94</v>
      </c>
      <c r="H6" s="4" t="s">
        <v>146</v>
      </c>
    </row>
    <row r="7" spans="2:8" x14ac:dyDescent="0.25">
      <c r="B7" s="172">
        <v>3</v>
      </c>
      <c r="C7" s="147" t="s">
        <v>4</v>
      </c>
      <c r="D7" s="310" t="s">
        <v>752</v>
      </c>
      <c r="E7" s="15"/>
      <c r="F7" s="15"/>
      <c r="G7" s="4" t="s">
        <v>94</v>
      </c>
      <c r="H7" s="4" t="s">
        <v>146</v>
      </c>
    </row>
    <row r="8" spans="2:8" x14ac:dyDescent="0.25">
      <c r="B8" s="1">
        <v>4</v>
      </c>
      <c r="C8" s="2" t="s">
        <v>5</v>
      </c>
      <c r="D8" s="310" t="s">
        <v>752</v>
      </c>
      <c r="E8" s="15"/>
      <c r="F8" s="15"/>
      <c r="G8" s="4" t="s">
        <v>54</v>
      </c>
      <c r="H8" s="4" t="s">
        <v>94</v>
      </c>
    </row>
    <row r="9" spans="2:8" x14ac:dyDescent="0.25">
      <c r="B9" s="1">
        <v>5</v>
      </c>
      <c r="C9" s="2" t="s">
        <v>6</v>
      </c>
      <c r="D9" s="310" t="s">
        <v>752</v>
      </c>
      <c r="E9" s="15"/>
      <c r="F9" s="15">
        <f>E5*0.13</f>
        <v>32500</v>
      </c>
      <c r="G9" s="4" t="s">
        <v>54</v>
      </c>
      <c r="H9" s="4" t="s">
        <v>94</v>
      </c>
    </row>
    <row r="10" spans="2:8" x14ac:dyDescent="0.25">
      <c r="B10" s="1">
        <v>6</v>
      </c>
      <c r="C10" s="2" t="s">
        <v>7</v>
      </c>
      <c r="D10" s="310" t="s">
        <v>752</v>
      </c>
      <c r="E10" s="15"/>
      <c r="F10" s="15"/>
      <c r="G10" s="4" t="s">
        <v>54</v>
      </c>
      <c r="H10" s="4" t="s">
        <v>54</v>
      </c>
    </row>
    <row r="11" spans="2:8" x14ac:dyDescent="0.25">
      <c r="B11" s="1">
        <v>9</v>
      </c>
      <c r="C11" s="2" t="s">
        <v>8</v>
      </c>
      <c r="D11" s="310" t="s">
        <v>752</v>
      </c>
      <c r="E11" s="15"/>
      <c r="F11" s="15"/>
      <c r="G11" s="4" t="s">
        <v>94</v>
      </c>
      <c r="H11" s="4" t="s">
        <v>146</v>
      </c>
    </row>
    <row r="12" spans="2:8" x14ac:dyDescent="0.25">
      <c r="B12" s="1">
        <v>10</v>
      </c>
      <c r="C12" s="2" t="s">
        <v>9</v>
      </c>
      <c r="D12" s="310" t="s">
        <v>752</v>
      </c>
      <c r="E12" s="15">
        <v>18000</v>
      </c>
      <c r="F12" s="15"/>
      <c r="G12" s="4" t="s">
        <v>94</v>
      </c>
      <c r="H12" s="4" t="s">
        <v>146</v>
      </c>
    </row>
    <row r="13" spans="2:8" x14ac:dyDescent="0.25">
      <c r="B13" s="1">
        <v>11</v>
      </c>
      <c r="C13" s="2" t="s">
        <v>10</v>
      </c>
      <c r="D13" s="310" t="s">
        <v>752</v>
      </c>
      <c r="E13" s="15"/>
      <c r="F13" s="15"/>
      <c r="G13" s="4" t="s">
        <v>54</v>
      </c>
      <c r="H13" s="4" t="s">
        <v>94</v>
      </c>
    </row>
    <row r="14" spans="2:8" x14ac:dyDescent="0.25">
      <c r="B14" s="1">
        <v>12</v>
      </c>
      <c r="C14" s="2" t="s">
        <v>11</v>
      </c>
      <c r="D14" s="310" t="s">
        <v>752</v>
      </c>
      <c r="E14" s="15"/>
      <c r="F14" s="15"/>
      <c r="G14" s="4" t="s">
        <v>54</v>
      </c>
      <c r="H14" s="4" t="s">
        <v>94</v>
      </c>
    </row>
    <row r="15" spans="2:8" x14ac:dyDescent="0.25">
      <c r="B15" s="1">
        <v>13</v>
      </c>
      <c r="C15" s="2" t="s">
        <v>12</v>
      </c>
      <c r="D15" s="310" t="s">
        <v>752</v>
      </c>
      <c r="E15" s="15"/>
      <c r="F15" s="15"/>
      <c r="G15" s="4" t="s">
        <v>94</v>
      </c>
      <c r="H15" s="4" t="s">
        <v>94</v>
      </c>
    </row>
    <row r="16" spans="2:8" x14ac:dyDescent="0.25">
      <c r="B16" s="1">
        <v>14</v>
      </c>
      <c r="C16" s="2" t="s">
        <v>13</v>
      </c>
      <c r="D16" s="310" t="s">
        <v>752</v>
      </c>
      <c r="E16" s="15"/>
      <c r="F16" s="15"/>
      <c r="G16" s="4" t="s">
        <v>54</v>
      </c>
      <c r="H16" s="4" t="s">
        <v>54</v>
      </c>
    </row>
    <row r="17" spans="2:8" x14ac:dyDescent="0.25">
      <c r="B17" s="1">
        <v>15</v>
      </c>
      <c r="C17" s="2" t="s">
        <v>14</v>
      </c>
      <c r="D17" s="310" t="s">
        <v>752</v>
      </c>
      <c r="E17" s="15"/>
      <c r="F17" s="15"/>
      <c r="G17" s="4" t="s">
        <v>54</v>
      </c>
      <c r="H17" s="4" t="s">
        <v>54</v>
      </c>
    </row>
    <row r="18" spans="2:8" x14ac:dyDescent="0.25">
      <c r="B18" s="1">
        <v>19</v>
      </c>
      <c r="C18" s="2" t="s">
        <v>15</v>
      </c>
      <c r="D18" s="311" t="s">
        <v>752</v>
      </c>
      <c r="E18" s="15"/>
      <c r="F18" s="15"/>
      <c r="G18" s="4" t="s">
        <v>94</v>
      </c>
      <c r="H18" s="4" t="s">
        <v>146</v>
      </c>
    </row>
    <row r="19" spans="2:8" x14ac:dyDescent="0.25">
      <c r="B19" s="172">
        <v>20</v>
      </c>
      <c r="C19" s="147" t="s">
        <v>16</v>
      </c>
      <c r="D19" s="310" t="s">
        <v>752</v>
      </c>
      <c r="E19" s="15"/>
      <c r="F19" s="15"/>
      <c r="G19" s="4" t="s">
        <v>94</v>
      </c>
      <c r="H19" s="4" t="s">
        <v>146</v>
      </c>
    </row>
    <row r="20" spans="2:8" x14ac:dyDescent="0.25">
      <c r="B20" s="1">
        <v>21</v>
      </c>
      <c r="C20" s="2" t="s">
        <v>17</v>
      </c>
      <c r="D20" s="310" t="s">
        <v>752</v>
      </c>
      <c r="E20" s="15"/>
      <c r="F20" s="15"/>
      <c r="G20" s="4" t="s">
        <v>94</v>
      </c>
      <c r="H20" s="4" t="s">
        <v>146</v>
      </c>
    </row>
    <row r="21" spans="2:8" x14ac:dyDescent="0.25">
      <c r="B21" s="1">
        <v>24</v>
      </c>
      <c r="C21" s="2" t="s">
        <v>20</v>
      </c>
      <c r="D21" s="310" t="s">
        <v>752</v>
      </c>
      <c r="E21" s="15"/>
      <c r="F21" s="15"/>
      <c r="G21" s="4" t="s">
        <v>54</v>
      </c>
      <c r="H21" s="4" t="s">
        <v>54</v>
      </c>
    </row>
    <row r="22" spans="2:8" x14ac:dyDescent="0.25">
      <c r="B22" s="1">
        <v>26</v>
      </c>
      <c r="C22" s="2" t="s">
        <v>22</v>
      </c>
      <c r="D22" s="310" t="s">
        <v>752</v>
      </c>
      <c r="E22" s="15"/>
      <c r="F22" s="15"/>
      <c r="G22" s="4" t="s">
        <v>54</v>
      </c>
      <c r="H22" s="4" t="s">
        <v>94</v>
      </c>
    </row>
    <row r="23" spans="2:8" x14ac:dyDescent="0.25">
      <c r="B23" s="1">
        <v>27</v>
      </c>
      <c r="C23" s="2" t="s">
        <v>23</v>
      </c>
      <c r="D23" s="310" t="s">
        <v>752</v>
      </c>
      <c r="E23" s="15"/>
      <c r="F23" s="15"/>
      <c r="G23" s="4" t="s">
        <v>94</v>
      </c>
      <c r="H23" s="4" t="s">
        <v>146</v>
      </c>
    </row>
    <row r="24" spans="2:8" x14ac:dyDescent="0.25">
      <c r="B24" s="1">
        <v>28</v>
      </c>
      <c r="C24" s="2" t="s">
        <v>24</v>
      </c>
      <c r="D24" s="310" t="s">
        <v>752</v>
      </c>
      <c r="E24" s="15"/>
      <c r="F24" s="15"/>
      <c r="G24" s="4" t="s">
        <v>94</v>
      </c>
      <c r="H24" s="4" t="s">
        <v>146</v>
      </c>
    </row>
    <row r="25" spans="2:8" x14ac:dyDescent="0.25">
      <c r="B25" s="1">
        <v>29</v>
      </c>
      <c r="C25" s="2" t="s">
        <v>25</v>
      </c>
      <c r="D25" s="310" t="s">
        <v>752</v>
      </c>
      <c r="E25" s="15"/>
      <c r="F25" s="15">
        <v>50000</v>
      </c>
      <c r="G25" s="4" t="s">
        <v>54</v>
      </c>
      <c r="H25" s="4" t="s">
        <v>54</v>
      </c>
    </row>
    <row r="26" spans="2:8" x14ac:dyDescent="0.25">
      <c r="B26" s="1">
        <v>30</v>
      </c>
      <c r="C26" s="2" t="s">
        <v>26</v>
      </c>
      <c r="D26" s="310" t="s">
        <v>752</v>
      </c>
      <c r="E26" s="15"/>
      <c r="F26" s="15">
        <v>28000</v>
      </c>
      <c r="G26" s="4" t="s">
        <v>54</v>
      </c>
      <c r="H26" s="4" t="s">
        <v>54</v>
      </c>
    </row>
    <row r="27" spans="2:8" x14ac:dyDescent="0.25">
      <c r="B27" s="1">
        <v>31</v>
      </c>
      <c r="C27" s="2" t="s">
        <v>27</v>
      </c>
      <c r="D27" s="310" t="s">
        <v>752</v>
      </c>
      <c r="E27" s="15"/>
      <c r="F27" s="15"/>
      <c r="G27" s="4" t="s">
        <v>54</v>
      </c>
      <c r="H27" s="4" t="s">
        <v>54</v>
      </c>
    </row>
    <row r="28" spans="2:8" x14ac:dyDescent="0.25">
      <c r="B28" s="1">
        <v>32</v>
      </c>
      <c r="C28" s="2" t="s">
        <v>28</v>
      </c>
      <c r="D28" s="310" t="s">
        <v>752</v>
      </c>
      <c r="E28" s="15"/>
      <c r="F28" s="15"/>
      <c r="G28" s="4" t="s">
        <v>54</v>
      </c>
      <c r="H28" s="4" t="s">
        <v>54</v>
      </c>
    </row>
    <row r="29" spans="2:8" x14ac:dyDescent="0.25">
      <c r="B29" s="1">
        <v>33</v>
      </c>
      <c r="C29" s="2" t="s">
        <v>29</v>
      </c>
      <c r="D29" s="310" t="s">
        <v>752</v>
      </c>
      <c r="E29" s="15"/>
      <c r="F29" s="15"/>
      <c r="G29" s="4" t="s">
        <v>54</v>
      </c>
      <c r="H29" s="4" t="s">
        <v>54</v>
      </c>
    </row>
    <row r="30" spans="2:8" x14ac:dyDescent="0.25">
      <c r="B30" s="1">
        <v>34</v>
      </c>
      <c r="C30" s="2" t="s">
        <v>30</v>
      </c>
      <c r="D30" s="310" t="s">
        <v>752</v>
      </c>
      <c r="E30" s="15"/>
      <c r="F30" s="15"/>
      <c r="G30" s="4" t="s">
        <v>54</v>
      </c>
      <c r="H30" s="4" t="s">
        <v>54</v>
      </c>
    </row>
    <row r="31" spans="2:8" x14ac:dyDescent="0.25">
      <c r="B31" s="1">
        <v>35</v>
      </c>
      <c r="C31" s="2" t="s">
        <v>31</v>
      </c>
      <c r="D31" s="310" t="s">
        <v>752</v>
      </c>
      <c r="E31" s="15"/>
      <c r="F31" s="15"/>
      <c r="G31" s="4" t="s">
        <v>54</v>
      </c>
      <c r="H31" s="4" t="s">
        <v>54</v>
      </c>
    </row>
    <row r="32" spans="2:8" x14ac:dyDescent="0.25">
      <c r="B32" s="1">
        <v>36</v>
      </c>
      <c r="C32" s="2" t="s">
        <v>32</v>
      </c>
      <c r="D32" s="310" t="s">
        <v>752</v>
      </c>
      <c r="E32" s="15"/>
      <c r="F32" s="15"/>
      <c r="G32" s="4" t="s">
        <v>54</v>
      </c>
      <c r="H32" s="4" t="s">
        <v>54</v>
      </c>
    </row>
    <row r="33" spans="2:9" x14ac:dyDescent="0.25">
      <c r="B33" s="1">
        <v>37</v>
      </c>
      <c r="C33" s="2" t="s">
        <v>33</v>
      </c>
      <c r="D33" s="310" t="s">
        <v>752</v>
      </c>
      <c r="E33" s="15"/>
      <c r="F33" s="15"/>
      <c r="G33" s="4" t="s">
        <v>54</v>
      </c>
      <c r="H33" s="4" t="s">
        <v>54</v>
      </c>
    </row>
    <row r="34" spans="2:9" x14ac:dyDescent="0.25">
      <c r="B34" s="1">
        <v>38</v>
      </c>
      <c r="C34" s="2" t="s">
        <v>34</v>
      </c>
      <c r="D34" s="310" t="s">
        <v>752</v>
      </c>
      <c r="E34" s="15"/>
      <c r="F34" s="15"/>
      <c r="G34" s="4" t="s">
        <v>94</v>
      </c>
      <c r="H34" s="4" t="s">
        <v>146</v>
      </c>
      <c r="I34" s="312" t="s">
        <v>753</v>
      </c>
    </row>
    <row r="35" spans="2:9" ht="31.5" customHeight="1" x14ac:dyDescent="0.25">
      <c r="B35" s="1" t="s">
        <v>40</v>
      </c>
      <c r="C35" s="3" t="s">
        <v>41</v>
      </c>
      <c r="D35" s="310" t="s">
        <v>752</v>
      </c>
      <c r="E35" s="15"/>
      <c r="F35" s="15"/>
      <c r="G35" s="4" t="s">
        <v>54</v>
      </c>
      <c r="H35" s="4" t="s">
        <v>54</v>
      </c>
    </row>
    <row r="36" spans="2:9" x14ac:dyDescent="0.25">
      <c r="B36" s="1">
        <v>48</v>
      </c>
      <c r="C36" s="3" t="s">
        <v>42</v>
      </c>
      <c r="D36" s="310" t="s">
        <v>752</v>
      </c>
      <c r="E36" s="15"/>
      <c r="F36" s="15"/>
      <c r="G36" s="4" t="s">
        <v>54</v>
      </c>
      <c r="H36" s="4" t="s">
        <v>54</v>
      </c>
    </row>
    <row r="37" spans="2:9" x14ac:dyDescent="0.25">
      <c r="B37" s="1">
        <v>49</v>
      </c>
      <c r="C37" s="3" t="s">
        <v>43</v>
      </c>
      <c r="D37" s="310" t="s">
        <v>752</v>
      </c>
      <c r="E37" s="15"/>
      <c r="F37" s="15"/>
      <c r="G37" s="4" t="s">
        <v>94</v>
      </c>
      <c r="H37" s="4" t="s">
        <v>146</v>
      </c>
    </row>
    <row r="38" spans="2:9" x14ac:dyDescent="0.25">
      <c r="B38" s="1">
        <v>50</v>
      </c>
      <c r="C38" s="3" t="s">
        <v>44</v>
      </c>
      <c r="D38" s="310" t="s">
        <v>752</v>
      </c>
      <c r="E38" s="15"/>
      <c r="F38" s="15"/>
      <c r="G38" s="4" t="s">
        <v>94</v>
      </c>
      <c r="H38" s="4" t="s">
        <v>146</v>
      </c>
    </row>
    <row r="39" spans="2:9" x14ac:dyDescent="0.25">
      <c r="D39" s="313" t="s">
        <v>251</v>
      </c>
      <c r="E39" s="13">
        <f>SUM(E5:E38)</f>
        <v>273000</v>
      </c>
      <c r="F39" s="13">
        <f>SUM(F5:F38)</f>
        <v>113894.2</v>
      </c>
    </row>
    <row r="41" spans="2:9" ht="132.75" customHeight="1" x14ac:dyDescent="0.25">
      <c r="B41" s="455" t="s">
        <v>754</v>
      </c>
      <c r="C41" s="456"/>
      <c r="D41" s="456"/>
      <c r="E41" s="456"/>
      <c r="F41" s="456"/>
    </row>
    <row r="43" spans="2:9" x14ac:dyDescent="0.25">
      <c r="C43" s="314" t="s">
        <v>68</v>
      </c>
      <c r="D43" s="52">
        <v>113.14</v>
      </c>
    </row>
    <row r="44" spans="2:9" x14ac:dyDescent="0.25">
      <c r="C44" s="314" t="s">
        <v>327</v>
      </c>
      <c r="D44" s="12">
        <f>IFERROR(ROUND(D43*7*365,2),"")</f>
        <v>289072.7</v>
      </c>
      <c r="E44" s="315" t="s">
        <v>328</v>
      </c>
    </row>
    <row r="45" spans="2:9" x14ac:dyDescent="0.25">
      <c r="C45" s="314" t="s">
        <v>755</v>
      </c>
      <c r="D45" s="12">
        <f>IFERROR(ROUND(D43*365,2),"")</f>
        <v>41296.1</v>
      </c>
      <c r="E45" s="315" t="s">
        <v>330</v>
      </c>
    </row>
    <row r="46" spans="2:9" ht="84" customHeight="1" x14ac:dyDescent="0.25">
      <c r="B46" s="455" t="s">
        <v>756</v>
      </c>
      <c r="C46" s="456"/>
    </row>
    <row r="47" spans="2:9" x14ac:dyDescent="0.25">
      <c r="C47" s="316" t="s">
        <v>757</v>
      </c>
      <c r="D47" s="12">
        <f>IFERROR(E39,"")</f>
        <v>273000</v>
      </c>
    </row>
    <row r="48" spans="2:9" x14ac:dyDescent="0.25">
      <c r="C48" s="316" t="s">
        <v>758</v>
      </c>
      <c r="D48" s="12">
        <f>SUMIFS(F5:F38,G5:G38,"Sí",H5:H38,"Sí")</f>
        <v>78000</v>
      </c>
    </row>
    <row r="49" spans="2:8" x14ac:dyDescent="0.25">
      <c r="C49" s="316" t="s">
        <v>759</v>
      </c>
      <c r="D49" s="12">
        <f>SUM(D47:D48)</f>
        <v>351000</v>
      </c>
      <c r="E49" s="315" t="s">
        <v>329</v>
      </c>
    </row>
    <row r="50" spans="2:8" x14ac:dyDescent="0.25">
      <c r="C50" s="317" t="s">
        <v>760</v>
      </c>
      <c r="D50" s="12">
        <f>D44</f>
        <v>289072.7</v>
      </c>
      <c r="E50" s="315" t="s">
        <v>328</v>
      </c>
    </row>
    <row r="52" spans="2:8" x14ac:dyDescent="0.25">
      <c r="B52" s="476" t="s">
        <v>761</v>
      </c>
      <c r="C52" s="476"/>
      <c r="D52" s="12">
        <f>D45</f>
        <v>41296.1</v>
      </c>
      <c r="E52" s="315" t="s">
        <v>330</v>
      </c>
    </row>
    <row r="54" spans="2:8" ht="34.5" customHeight="1" x14ac:dyDescent="0.25">
      <c r="B54" s="477" t="s">
        <v>762</v>
      </c>
      <c r="C54" s="477"/>
    </row>
    <row r="55" spans="2:8" x14ac:dyDescent="0.25">
      <c r="C55" s="316" t="s">
        <v>757</v>
      </c>
      <c r="D55" s="12">
        <f>IF(D49&gt;D50,D47,"")</f>
        <v>273000</v>
      </c>
    </row>
    <row r="56" spans="2:8" x14ac:dyDescent="0.25">
      <c r="C56" s="316" t="s">
        <v>763</v>
      </c>
      <c r="D56" s="12">
        <f>IF(D49&gt;D50,IF(D48&gt;=D52,D52,D48),"")</f>
        <v>41296.1</v>
      </c>
    </row>
    <row r="57" spans="2:8" x14ac:dyDescent="0.25">
      <c r="C57" s="316" t="s">
        <v>764</v>
      </c>
      <c r="D57" s="12">
        <f>IF(D49&gt;D50,SUM(D55:D56),"")</f>
        <v>314296.09999999998</v>
      </c>
      <c r="E57" s="315" t="s">
        <v>765</v>
      </c>
      <c r="F57" s="12"/>
    </row>
    <row r="58" spans="2:8" x14ac:dyDescent="0.25">
      <c r="F58" s="12"/>
      <c r="H58" s="12"/>
    </row>
    <row r="59" spans="2:8" x14ac:dyDescent="0.25">
      <c r="C59" s="318" t="s">
        <v>766</v>
      </c>
      <c r="F59" s="12"/>
    </row>
    <row r="61" spans="2:8" x14ac:dyDescent="0.25">
      <c r="C61" s="319" t="s">
        <v>767</v>
      </c>
      <c r="D61" s="12">
        <f>SUMIFS(F5:F38,G5:G38,"Sí",H5:H38,"No")</f>
        <v>32500</v>
      </c>
    </row>
    <row r="62" spans="2:8" x14ac:dyDescent="0.25">
      <c r="C62" s="319" t="s">
        <v>768</v>
      </c>
      <c r="D62" s="12">
        <f>IFERROR(IF(D48&gt;=D63,D48-D63,0),0)</f>
        <v>36703.9</v>
      </c>
    </row>
    <row r="63" spans="2:8" x14ac:dyDescent="0.25">
      <c r="C63" s="319" t="s">
        <v>769</v>
      </c>
      <c r="D63" s="12">
        <f>IF(D57="",D48,IF(D57&gt;=D50,D56,IF(D57&lt;D50,D50-D55,"")))</f>
        <v>41296.1</v>
      </c>
      <c r="F63" s="12"/>
    </row>
    <row r="64" spans="2:8" x14ac:dyDescent="0.25">
      <c r="C64" s="316" t="s">
        <v>770</v>
      </c>
      <c r="D64" s="320">
        <f>SUM(D61:D63)</f>
        <v>110500</v>
      </c>
    </row>
    <row r="67" spans="2:8" x14ac:dyDescent="0.25">
      <c r="B67" s="40" t="s">
        <v>48</v>
      </c>
      <c r="C67" t="s">
        <v>50</v>
      </c>
    </row>
    <row r="68" spans="2:8" ht="15.75" thickBot="1" x14ac:dyDescent="0.3">
      <c r="B68" t="s">
        <v>771</v>
      </c>
    </row>
    <row r="69" spans="2:8" x14ac:dyDescent="0.25">
      <c r="B69" s="321" t="s">
        <v>0</v>
      </c>
      <c r="C69" s="70" t="s">
        <v>1</v>
      </c>
      <c r="D69" s="306" t="s">
        <v>64</v>
      </c>
      <c r="E69" s="306" t="s">
        <v>65</v>
      </c>
      <c r="G69" s="70" t="s">
        <v>1</v>
      </c>
      <c r="H69" s="8" t="s">
        <v>244</v>
      </c>
    </row>
    <row r="70" spans="2:8" x14ac:dyDescent="0.25">
      <c r="B70" s="1">
        <v>1</v>
      </c>
      <c r="C70" s="2" t="s">
        <v>2</v>
      </c>
      <c r="D70" s="21">
        <v>3500</v>
      </c>
      <c r="E70" s="21"/>
      <c r="G70" s="2" t="s">
        <v>221</v>
      </c>
      <c r="H70" s="21">
        <v>120</v>
      </c>
    </row>
    <row r="71" spans="2:8" x14ac:dyDescent="0.25">
      <c r="B71" s="1">
        <v>30</v>
      </c>
      <c r="C71" s="2" t="s">
        <v>26</v>
      </c>
      <c r="D71" s="21">
        <f>D62</f>
        <v>36703.9</v>
      </c>
      <c r="E71" s="21"/>
      <c r="G71" s="2" t="s">
        <v>222</v>
      </c>
      <c r="H71" s="21">
        <v>650</v>
      </c>
    </row>
    <row r="72" spans="2:8" ht="43.5" thickBot="1" x14ac:dyDescent="0.3">
      <c r="G72" s="173" t="s">
        <v>122</v>
      </c>
      <c r="H72" s="322">
        <f>D71</f>
        <v>36703.9</v>
      </c>
    </row>
    <row r="73" spans="2:8" x14ac:dyDescent="0.25">
      <c r="B73" s="323" t="s">
        <v>664</v>
      </c>
      <c r="C73" s="70" t="s">
        <v>1</v>
      </c>
      <c r="D73" s="38" t="s">
        <v>244</v>
      </c>
    </row>
    <row r="74" spans="2:8" x14ac:dyDescent="0.25">
      <c r="B74" s="1">
        <v>2</v>
      </c>
      <c r="C74" s="2" t="s">
        <v>535</v>
      </c>
      <c r="D74" s="322">
        <v>0</v>
      </c>
    </row>
    <row r="75" spans="2:8" x14ac:dyDescent="0.25">
      <c r="C75" t="s">
        <v>772</v>
      </c>
      <c r="D75" s="12">
        <v>0</v>
      </c>
    </row>
  </sheetData>
  <sheetProtection formatCells="0" formatColumns="0" formatRows="0" selectLockedCells="1" sort="0"/>
  <mergeCells count="4">
    <mergeCell ref="B41:F41"/>
    <mergeCell ref="B46:C46"/>
    <mergeCell ref="B52:C52"/>
    <mergeCell ref="B54:C54"/>
  </mergeCells>
  <dataValidations count="2">
    <dataValidation type="list" allowBlank="1" showInputMessage="1" showErrorMessage="1" sqref="G5:G38" xr:uid="{592D2300-E803-4BE4-97ED-0F0516192036}">
      <formula1>"Sí,No"</formula1>
    </dataValidation>
    <dataValidation type="list" allowBlank="1" showInputMessage="1" showErrorMessage="1" sqref="H5:H38" xr:uid="{2D4E1F44-7E70-445E-9B17-2EBA06DE6944}">
      <formula1>"Sí,No,No aplica"</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4</vt:i4>
      </vt:variant>
    </vt:vector>
  </HeadingPairs>
  <TitlesOfParts>
    <vt:vector size="19" baseType="lpstr">
      <vt:lpstr>PORTADA</vt:lpstr>
      <vt:lpstr>MENU</vt:lpstr>
      <vt:lpstr>INSTRUCCIONES</vt:lpstr>
      <vt:lpstr>APEND6</vt:lpstr>
      <vt:lpstr>PERCEPCION</vt:lpstr>
      <vt:lpstr>PERCEPCIONESO</vt:lpstr>
      <vt:lpstr>OPAGOS</vt:lpstr>
      <vt:lpstr>DEDUCCION</vt:lpstr>
      <vt:lpstr>PREVISION</vt:lpstr>
      <vt:lpstr>FACTOR</vt:lpstr>
      <vt:lpstr>FCFDI</vt:lpstr>
      <vt:lpstr>DSDI</vt:lpstr>
      <vt:lpstr>SBC</vt:lpstr>
      <vt:lpstr>INFONAVIT</vt:lpstr>
      <vt:lpstr>GENERAL</vt:lpstr>
      <vt:lpstr>CONTRA</vt:lpstr>
      <vt:lpstr>TABLAV</vt:lpstr>
      <vt:lpstr>TARIFAC</vt:lpstr>
      <vt:lpstr>TARIFAM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Monroy</dc:creator>
  <cp:lastModifiedBy>C MM</cp:lastModifiedBy>
  <dcterms:created xsi:type="dcterms:W3CDTF">2025-09-15T16:01:49Z</dcterms:created>
  <dcterms:modified xsi:type="dcterms:W3CDTF">2026-07-24T00:09:58Z</dcterms:modified>
</cp:coreProperties>
</file>