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Jaime Flores\Dropbox (Personal)\Dropbox\CAPACITACIÓN\2021\Actualización fiscal y laboral de emergencia\Calculadoras en excel\Material curso\"/>
    </mc:Choice>
  </mc:AlternateContent>
  <xr:revisionPtr revIDLastSave="0" documentId="13_ncr:1_{629E92E5-66BC-456C-A3D0-F1C90EBA1338}" xr6:coauthVersionLast="46" xr6:coauthVersionMax="46" xr10:uidLastSave="{00000000-0000-0000-0000-000000000000}"/>
  <bookViews>
    <workbookView xWindow="-110" yWindow="-110" windowWidth="19420" windowHeight="10420" activeTab="10" xr2:uid="{38E9E614-3563-4D16-A75A-B6CE8E443E04}"/>
  </bookViews>
  <sheets>
    <sheet name="Indicadores" sheetId="3" r:id="rId1"/>
    <sheet name="TE" sheetId="13" state="hidden" r:id="rId2"/>
    <sheet name="Vacaciones" sheetId="1" r:id="rId3"/>
    <sheet name="fondo" sheetId="11" state="hidden" r:id="rId4"/>
    <sheet name="Hoja1" sheetId="10" state="hidden" r:id="rId5"/>
    <sheet name="Tiempo Extra" sheetId="2" state="hidden" r:id="rId6"/>
    <sheet name="Integración salarial" sheetId="5" state="hidden" r:id="rId7"/>
    <sheet name="Finiquitos" sheetId="4" r:id="rId8"/>
    <sheet name="Liquidaciones" sheetId="6" r:id="rId9"/>
    <sheet name="Ejemplos" sheetId="7" state="hidden" r:id="rId10"/>
    <sheet name="IMSS" sheetId="9" r:id="rId11"/>
    <sheet name="TARIFAS" sheetId="12" r:id="rId12"/>
    <sheet name="CASOS" sheetId="14" state="hidden" r:id="rId13"/>
    <sheet name="SUBSIDIO" sheetId="20" state="hidden" r:id="rId14"/>
    <sheet name="CASOS (2)" sheetId="15" state="hidden" r:id="rId15"/>
    <sheet name="Hoja3" sheetId="18" state="hidden" r:id="rId16"/>
    <sheet name="ANUAL" sheetId="19" state="hidden" r:id="rId17"/>
    <sheet name="Hoja6" sheetId="21" state="hidden" r:id="rId18"/>
    <sheet name="´CALCULOS" sheetId="16" state="hidden" r:id="rId19"/>
    <sheet name="Hoja2" sheetId="17" state="hidden" r:id="rId20"/>
  </sheets>
  <externalReferences>
    <externalReference r:id="rId21"/>
  </externalReferences>
  <definedNames>
    <definedName name="baja">Finiquitos!$C$5</definedName>
    <definedName name="base">Finiquitos!$A$1</definedName>
    <definedName name="Celda">Hoja1!$B$2</definedName>
    <definedName name="datos">Hoja1!$B$17:$D$20</definedName>
    <definedName name="dias">Vacaciones!$K$2:$N$9</definedName>
    <definedName name="ISRA">TARIFAS!$B$32:$E$42</definedName>
    <definedName name="ISRM">TARIFAS!$B$4:$E$14</definedName>
    <definedName name="ISRQ">TARIFAS!$G$4:$J$14</definedName>
    <definedName name="rango">Hoja1!$B$4:$E$8</definedName>
    <definedName name="SDI">Vacaciones!$J$29:$Q$32</definedName>
    <definedName name="SM">'[1]Fórmula C'!$B$16</definedName>
    <definedName name="SMG">Indicadores!$C$3</definedName>
    <definedName name="SMZN">Indicadores!$C$4</definedName>
    <definedName name="SUBSIDIOM">TARIFAS!$B$18:$D$28</definedName>
    <definedName name="SUBSIDIOQ">TARIFAS!$G$18:$I$28</definedName>
    <definedName name="UMA">Indicadores!$C$5</definedName>
    <definedName name="Vacaciones">Vacaciones!$F$4:$H$18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6" l="1"/>
  <c r="G42" i="6"/>
  <c r="E18" i="4"/>
  <c r="E17" i="4"/>
  <c r="E32" i="4"/>
  <c r="F15" i="4"/>
  <c r="F12" i="4"/>
  <c r="E14" i="4"/>
  <c r="O48" i="1"/>
  <c r="O45" i="1"/>
  <c r="N30" i="1"/>
  <c r="N31" i="1"/>
  <c r="N32" i="1"/>
  <c r="N29" i="1"/>
  <c r="B9" i="1"/>
  <c r="C9" i="1"/>
  <c r="B10" i="1" s="1"/>
  <c r="D9" i="1"/>
  <c r="D10" i="1" s="1"/>
  <c r="D11" i="1" s="1"/>
  <c r="D12" i="1" s="1"/>
  <c r="D13" i="1" s="1"/>
  <c r="D14" i="1" s="1"/>
  <c r="D15" i="1" s="1"/>
  <c r="D16" i="1" s="1"/>
  <c r="D17" i="1" s="1"/>
  <c r="D18" i="1" s="1"/>
  <c r="C8" i="1"/>
  <c r="B6" i="1"/>
  <c r="C6" i="1"/>
  <c r="B7" i="1" s="1"/>
  <c r="D6" i="1"/>
  <c r="D7" i="1" s="1"/>
  <c r="D8" i="1" s="1"/>
  <c r="D5" i="1"/>
  <c r="C5" i="1"/>
  <c r="B5" i="1"/>
  <c r="B60" i="6"/>
  <c r="C40" i="6"/>
  <c r="E42" i="6" s="1"/>
  <c r="D58" i="6" s="1"/>
  <c r="B34" i="6"/>
  <c r="B33" i="6"/>
  <c r="C30" i="6"/>
  <c r="C31" i="6" s="1"/>
  <c r="C34" i="6" s="1"/>
  <c r="C35" i="6" s="1"/>
  <c r="D29" i="6"/>
  <c r="D28" i="6"/>
  <c r="C24" i="6"/>
  <c r="C23" i="6"/>
  <c r="C22" i="6"/>
  <c r="C25" i="6" s="1"/>
  <c r="C26" i="6" s="1"/>
  <c r="D19" i="6"/>
  <c r="C19" i="6" s="1"/>
  <c r="C18" i="6"/>
  <c r="C22" i="4"/>
  <c r="C27" i="4" s="1"/>
  <c r="D11" i="4"/>
  <c r="C11" i="4"/>
  <c r="C20" i="6" l="1"/>
  <c r="D12" i="4"/>
  <c r="C23" i="4"/>
  <c r="C24" i="4" s="1"/>
  <c r="D22" i="4"/>
  <c r="C25" i="4"/>
  <c r="C12" i="4"/>
  <c r="E12" i="4" s="1"/>
  <c r="C10" i="1"/>
  <c r="C7" i="1"/>
  <c r="E11" i="4"/>
  <c r="C47" i="6"/>
  <c r="C48" i="6"/>
  <c r="D31" i="6"/>
  <c r="E40" i="6"/>
  <c r="D47" i="6" s="1"/>
  <c r="D46" i="6"/>
  <c r="D30" i="6"/>
  <c r="C41" i="6"/>
  <c r="C6" i="4"/>
  <c r="C13" i="4" s="1"/>
  <c r="C15" i="4" s="1"/>
  <c r="D13" i="4"/>
  <c r="C26" i="4" l="1"/>
  <c r="C28" i="4" s="1"/>
  <c r="D28" i="4" s="1"/>
  <c r="D16" i="4"/>
  <c r="C16" i="4"/>
  <c r="E5" i="4"/>
  <c r="C11" i="1"/>
  <c r="B11" i="1"/>
  <c r="B8" i="1"/>
  <c r="E47" i="6"/>
  <c r="D48" i="6"/>
  <c r="E48" i="6" s="1"/>
  <c r="E46" i="6"/>
  <c r="D15" i="4"/>
  <c r="C30" i="4" s="1"/>
  <c r="E33" i="4" s="1"/>
  <c r="E38" i="4" l="1"/>
  <c r="E36" i="4"/>
  <c r="E34" i="4"/>
  <c r="E35" i="4" s="1"/>
  <c r="E13" i="4"/>
  <c r="B12" i="1"/>
  <c r="C12" i="1"/>
  <c r="E49" i="6"/>
  <c r="E15" i="4"/>
  <c r="C32" i="4" s="1"/>
  <c r="D57" i="6" l="1"/>
  <c r="D59" i="6" s="1"/>
  <c r="E16" i="4"/>
  <c r="C31" i="4" s="1"/>
  <c r="C33" i="4" s="1"/>
  <c r="E37" i="4"/>
  <c r="E39" i="4" s="1"/>
  <c r="C40" i="4" s="1"/>
  <c r="B13" i="1"/>
  <c r="C13" i="1"/>
  <c r="D74" i="6" l="1"/>
  <c r="C70" i="6"/>
  <c r="C68" i="6"/>
  <c r="C66" i="6"/>
  <c r="C67" i="6" s="1"/>
  <c r="C38" i="4"/>
  <c r="C36" i="4"/>
  <c r="C34" i="4"/>
  <c r="C35" i="4" s="1"/>
  <c r="B14" i="1"/>
  <c r="C14" i="1"/>
  <c r="C69" i="6" l="1"/>
  <c r="C71" i="6" s="1"/>
  <c r="D73" i="6" s="1"/>
  <c r="F73" i="6" s="1"/>
  <c r="D60" i="6" s="1"/>
  <c r="D61" i="6" s="1"/>
  <c r="E50" i="6" s="1"/>
  <c r="E51" i="6" s="1"/>
  <c r="C37" i="4"/>
  <c r="C39" i="4" s="1"/>
  <c r="C41" i="4" s="1"/>
  <c r="C15" i="1"/>
  <c r="B15" i="1"/>
  <c r="D42" i="12"/>
  <c r="D41" i="12"/>
  <c r="C41" i="12"/>
  <c r="D40" i="12"/>
  <c r="C40" i="12"/>
  <c r="D39" i="12"/>
  <c r="C39" i="12"/>
  <c r="D38" i="12"/>
  <c r="C38" i="12"/>
  <c r="D37" i="12"/>
  <c r="C37" i="12"/>
  <c r="D36" i="12"/>
  <c r="C36" i="12"/>
  <c r="D35" i="12"/>
  <c r="C35" i="12"/>
  <c r="D34" i="12"/>
  <c r="C34" i="12"/>
  <c r="D33" i="12"/>
  <c r="C33" i="12"/>
  <c r="D32" i="12"/>
  <c r="C32" i="12"/>
  <c r="B34" i="12"/>
  <c r="B35" i="12"/>
  <c r="B36" i="12"/>
  <c r="B37" i="12"/>
  <c r="B38" i="12"/>
  <c r="B39" i="12"/>
  <c r="B40" i="12"/>
  <c r="B41" i="12"/>
  <c r="B42" i="12"/>
  <c r="B33" i="12"/>
  <c r="H27" i="12"/>
  <c r="H26" i="12"/>
  <c r="H25" i="12"/>
  <c r="H24" i="12"/>
  <c r="H23" i="12"/>
  <c r="H22" i="12"/>
  <c r="H21" i="12"/>
  <c r="H20" i="12"/>
  <c r="H19" i="12"/>
  <c r="H18" i="12"/>
  <c r="G28" i="12"/>
  <c r="G27" i="12"/>
  <c r="G26" i="12"/>
  <c r="G25" i="12"/>
  <c r="G24" i="12"/>
  <c r="G23" i="12"/>
  <c r="G22" i="12"/>
  <c r="G21" i="12"/>
  <c r="G20" i="12"/>
  <c r="G19" i="12"/>
  <c r="I14" i="12"/>
  <c r="I13" i="12"/>
  <c r="H13" i="12"/>
  <c r="I12" i="12"/>
  <c r="H12" i="12"/>
  <c r="I11" i="12"/>
  <c r="H11" i="12"/>
  <c r="I10" i="12"/>
  <c r="H10" i="12"/>
  <c r="I9" i="12"/>
  <c r="H9" i="12"/>
  <c r="I8" i="12"/>
  <c r="H8" i="12"/>
  <c r="I7" i="12"/>
  <c r="H7" i="12"/>
  <c r="I6" i="12"/>
  <c r="H6" i="12"/>
  <c r="I5" i="12"/>
  <c r="H5" i="12"/>
  <c r="I4" i="12"/>
  <c r="H4" i="12"/>
  <c r="G6" i="12"/>
  <c r="G7" i="12"/>
  <c r="G8" i="12"/>
  <c r="G9" i="12"/>
  <c r="G10" i="12"/>
  <c r="G11" i="12"/>
  <c r="G12" i="12"/>
  <c r="G13" i="12"/>
  <c r="G14" i="12"/>
  <c r="G5" i="12"/>
  <c r="G10" i="20"/>
  <c r="G9" i="20"/>
  <c r="F13" i="20"/>
  <c r="F12" i="20"/>
  <c r="E13" i="20"/>
  <c r="F11" i="20"/>
  <c r="F10" i="20"/>
  <c r="F9" i="20"/>
  <c r="H27" i="20"/>
  <c r="J26" i="20"/>
  <c r="H26" i="20"/>
  <c r="H25" i="20"/>
  <c r="H24" i="20"/>
  <c r="J25" i="20"/>
  <c r="J24" i="20"/>
  <c r="H20" i="20"/>
  <c r="J14" i="20"/>
  <c r="H17" i="20"/>
  <c r="L7" i="20"/>
  <c r="F5" i="20"/>
  <c r="B16" i="1" l="1"/>
  <c r="C16" i="1"/>
  <c r="C60" i="14"/>
  <c r="C59" i="14"/>
  <c r="E47" i="14"/>
  <c r="C49" i="14"/>
  <c r="C47" i="14"/>
  <c r="C45" i="14"/>
  <c r="C43" i="14"/>
  <c r="C44" i="14" s="1"/>
  <c r="F26" i="14"/>
  <c r="G34" i="14"/>
  <c r="G32" i="14"/>
  <c r="G30" i="14"/>
  <c r="G28" i="14"/>
  <c r="G29" i="14" s="1"/>
  <c r="F34" i="14"/>
  <c r="F32" i="14"/>
  <c r="F30" i="14"/>
  <c r="F28" i="14"/>
  <c r="F29" i="14" s="1"/>
  <c r="E28" i="14"/>
  <c r="C34" i="14"/>
  <c r="C32" i="14"/>
  <c r="C30" i="14"/>
  <c r="C28" i="14"/>
  <c r="C29" i="14" s="1"/>
  <c r="K49" i="15"/>
  <c r="C38" i="15"/>
  <c r="C33" i="15"/>
  <c r="C31" i="15"/>
  <c r="C29" i="15"/>
  <c r="C27" i="15"/>
  <c r="C28" i="15" s="1"/>
  <c r="E110" i="19"/>
  <c r="H30" i="19"/>
  <c r="H29" i="19"/>
  <c r="H28" i="19"/>
  <c r="E105" i="19"/>
  <c r="G27" i="19"/>
  <c r="G26" i="19"/>
  <c r="G25" i="19"/>
  <c r="G24" i="19"/>
  <c r="H61" i="19"/>
  <c r="E89" i="19"/>
  <c r="D89" i="19"/>
  <c r="E72" i="19"/>
  <c r="E76" i="19"/>
  <c r="E75" i="19"/>
  <c r="E74" i="19"/>
  <c r="E73" i="19"/>
  <c r="E67" i="19"/>
  <c r="E65" i="19"/>
  <c r="E63" i="19"/>
  <c r="E61" i="19"/>
  <c r="E62" i="19" s="1"/>
  <c r="E55" i="19"/>
  <c r="E53" i="19"/>
  <c r="E51" i="19"/>
  <c r="E49" i="19"/>
  <c r="E50" i="19" s="1"/>
  <c r="E43" i="19"/>
  <c r="E41" i="19"/>
  <c r="E39" i="19"/>
  <c r="E37" i="19"/>
  <c r="E38" i="19" s="1"/>
  <c r="F31" i="19"/>
  <c r="E90" i="19" s="1"/>
  <c r="F28" i="19"/>
  <c r="I29" i="19" s="1"/>
  <c r="F26" i="19"/>
  <c r="I28" i="19" s="1"/>
  <c r="F24" i="19"/>
  <c r="F3" i="18"/>
  <c r="F10" i="18" s="1"/>
  <c r="E10" i="18"/>
  <c r="E8" i="18"/>
  <c r="E6" i="18"/>
  <c r="E4" i="18"/>
  <c r="E5" i="18" s="1"/>
  <c r="D8" i="18"/>
  <c r="D6" i="18"/>
  <c r="D4" i="18"/>
  <c r="D5" i="18" s="1"/>
  <c r="I28" i="18"/>
  <c r="I27" i="18"/>
  <c r="I26" i="18"/>
  <c r="D10" i="18"/>
  <c r="C10" i="18"/>
  <c r="C8" i="18"/>
  <c r="C6" i="18"/>
  <c r="C4" i="18"/>
  <c r="C5" i="18" s="1"/>
  <c r="B17" i="1" l="1"/>
  <c r="C17" i="1"/>
  <c r="E91" i="19"/>
  <c r="E108" i="19" s="1"/>
  <c r="I105" i="19" s="1"/>
  <c r="I107" i="19" s="1"/>
  <c r="F32" i="19"/>
  <c r="E77" i="19"/>
  <c r="E80" i="19" s="1"/>
  <c r="I30" i="19"/>
  <c r="I31" i="19" s="1"/>
  <c r="E106" i="19" s="1"/>
  <c r="E107" i="19" s="1"/>
  <c r="C61" i="14"/>
  <c r="C62" i="14" s="1"/>
  <c r="C64" i="14" s="1"/>
  <c r="C46" i="14"/>
  <c r="C48" i="14" s="1"/>
  <c r="G31" i="14"/>
  <c r="G33" i="14" s="1"/>
  <c r="G35" i="14" s="1"/>
  <c r="G37" i="14" s="1"/>
  <c r="F31" i="14"/>
  <c r="F33" i="14" s="1"/>
  <c r="F35" i="14" s="1"/>
  <c r="F37" i="14" s="1"/>
  <c r="C31" i="14"/>
  <c r="C33" i="14" s="1"/>
  <c r="C35" i="14" s="1"/>
  <c r="C37" i="14" s="1"/>
  <c r="C38" i="14" s="1"/>
  <c r="C30" i="15"/>
  <c r="C32" i="15" s="1"/>
  <c r="C34" i="15" s="1"/>
  <c r="C40" i="15" s="1"/>
  <c r="E84" i="19"/>
  <c r="E82" i="19"/>
  <c r="E78" i="19"/>
  <c r="E79" i="19" s="1"/>
  <c r="E64" i="19"/>
  <c r="E66" i="19" s="1"/>
  <c r="E52" i="19"/>
  <c r="E54" i="19" s="1"/>
  <c r="E56" i="19" s="1"/>
  <c r="F56" i="19" s="1"/>
  <c r="E97" i="19" s="1"/>
  <c r="E40" i="19"/>
  <c r="E42" i="19" s="1"/>
  <c r="E44" i="19" s="1"/>
  <c r="F44" i="19" s="1"/>
  <c r="E96" i="19" s="1"/>
  <c r="F6" i="18"/>
  <c r="E7" i="18"/>
  <c r="E9" i="18" s="1"/>
  <c r="E11" i="18" s="1"/>
  <c r="F13" i="18" s="1"/>
  <c r="F4" i="18"/>
  <c r="F5" i="18" s="1"/>
  <c r="F8" i="18"/>
  <c r="D7" i="18"/>
  <c r="D9" i="18" s="1"/>
  <c r="D11" i="18" s="1"/>
  <c r="C7" i="18"/>
  <c r="C9" i="18" s="1"/>
  <c r="C11" i="18" s="1"/>
  <c r="K75" i="16"/>
  <c r="L58" i="16"/>
  <c r="L63" i="16" s="1"/>
  <c r="L59" i="16"/>
  <c r="L60" i="16" s="1"/>
  <c r="K57" i="16"/>
  <c r="K58" i="16" s="1"/>
  <c r="I49" i="16"/>
  <c r="H45" i="16"/>
  <c r="L40" i="16"/>
  <c r="M31" i="16"/>
  <c r="I43" i="16"/>
  <c r="I40" i="16"/>
  <c r="I42" i="16" s="1"/>
  <c r="I50" i="16" s="1"/>
  <c r="I39" i="16"/>
  <c r="K19" i="16"/>
  <c r="K20" i="16"/>
  <c r="K21" i="16"/>
  <c r="K22" i="16"/>
  <c r="K24" i="16"/>
  <c r="K18" i="16"/>
  <c r="J33" i="16"/>
  <c r="J31" i="16"/>
  <c r="J29" i="16"/>
  <c r="J27" i="16"/>
  <c r="J28" i="16" s="1"/>
  <c r="J26" i="16"/>
  <c r="J22" i="16"/>
  <c r="I24" i="16"/>
  <c r="I23" i="16"/>
  <c r="I25" i="16" s="1"/>
  <c r="I20" i="16"/>
  <c r="I22" i="16" s="1"/>
  <c r="H7" i="15"/>
  <c r="F7" i="15"/>
  <c r="F13" i="15" s="1"/>
  <c r="H12" i="15"/>
  <c r="F12" i="15"/>
  <c r="D12" i="15"/>
  <c r="D7" i="15"/>
  <c r="B11" i="15"/>
  <c r="C10" i="15"/>
  <c r="B10" i="15"/>
  <c r="C9" i="15"/>
  <c r="C12" i="15" s="1"/>
  <c r="B9" i="15"/>
  <c r="C7" i="15"/>
  <c r="C10" i="14"/>
  <c r="C9" i="14"/>
  <c r="C7" i="14"/>
  <c r="B10" i="14"/>
  <c r="B11" i="14"/>
  <c r="B9" i="14"/>
  <c r="H17" i="13"/>
  <c r="F16" i="13"/>
  <c r="E16" i="13"/>
  <c r="D16" i="13"/>
  <c r="E17" i="13"/>
  <c r="F3" i="13"/>
  <c r="H3" i="13" s="1"/>
  <c r="D13" i="13" s="1"/>
  <c r="C14" i="13"/>
  <c r="C13" i="13"/>
  <c r="C12" i="13"/>
  <c r="C11" i="13"/>
  <c r="I2" i="13"/>
  <c r="G2" i="13"/>
  <c r="E2" i="13"/>
  <c r="I44" i="16" l="1"/>
  <c r="B18" i="1"/>
  <c r="C18" i="1"/>
  <c r="K68" i="16"/>
  <c r="K97" i="16" s="1"/>
  <c r="E109" i="19"/>
  <c r="E111" i="19" s="1"/>
  <c r="E112" i="19" s="1"/>
  <c r="E113" i="19" s="1"/>
  <c r="C12" i="14"/>
  <c r="C13" i="14" s="1"/>
  <c r="H114" i="19"/>
  <c r="E116" i="19"/>
  <c r="E114" i="19"/>
  <c r="K61" i="16"/>
  <c r="K63" i="16"/>
  <c r="K59" i="16"/>
  <c r="K60" i="16" s="1"/>
  <c r="K25" i="16"/>
  <c r="I26" i="16"/>
  <c r="K26" i="16" s="1"/>
  <c r="K23" i="16"/>
  <c r="K70" i="16"/>
  <c r="K72" i="16" s="1"/>
  <c r="K76" i="16" s="1"/>
  <c r="F36" i="14"/>
  <c r="E81" i="19"/>
  <c r="E83" i="19" s="1"/>
  <c r="E85" i="19" s="1"/>
  <c r="F85" i="19" s="1"/>
  <c r="E48" i="14"/>
  <c r="E49" i="14" s="1"/>
  <c r="G47" i="14"/>
  <c r="G49" i="14" s="1"/>
  <c r="E43" i="14"/>
  <c r="E44" i="14" s="1"/>
  <c r="C50" i="14"/>
  <c r="C52" i="14" s="1"/>
  <c r="C53" i="14" s="1"/>
  <c r="G36" i="14"/>
  <c r="C36" i="14"/>
  <c r="C35" i="15"/>
  <c r="E45" i="19"/>
  <c r="E68" i="19"/>
  <c r="F68" i="19" s="1"/>
  <c r="E98" i="19" s="1"/>
  <c r="H60" i="19"/>
  <c r="G63" i="19" s="1"/>
  <c r="E92" i="19" s="1"/>
  <c r="E93" i="19" s="1"/>
  <c r="E101" i="19" s="1"/>
  <c r="E69" i="19"/>
  <c r="E57" i="19"/>
  <c r="F7" i="18"/>
  <c r="F9" i="18" s="1"/>
  <c r="H6" i="18" s="1"/>
  <c r="H9" i="18" s="1"/>
  <c r="E12" i="18"/>
  <c r="D12" i="18"/>
  <c r="C12" i="18"/>
  <c r="L61" i="16"/>
  <c r="L62" i="16" s="1"/>
  <c r="L64" i="16" s="1"/>
  <c r="M27" i="16"/>
  <c r="M28" i="16" s="1"/>
  <c r="M29" i="16"/>
  <c r="J30" i="16"/>
  <c r="J32" i="16" s="1"/>
  <c r="J34" i="16" s="1"/>
  <c r="K35" i="16" s="1"/>
  <c r="H13" i="15"/>
  <c r="F18" i="15"/>
  <c r="F20" i="15"/>
  <c r="F14" i="15"/>
  <c r="F15" i="15" s="1"/>
  <c r="F16" i="15"/>
  <c r="D13" i="15"/>
  <c r="C16" i="14"/>
  <c r="C20" i="14"/>
  <c r="C14" i="14"/>
  <c r="C15" i="14" s="1"/>
  <c r="C18" i="14"/>
  <c r="C13" i="15"/>
  <c r="D14" i="13"/>
  <c r="G16" i="13"/>
  <c r="K62" i="16" l="1"/>
  <c r="K64" i="16" s="1"/>
  <c r="E115" i="19"/>
  <c r="E117" i="19" s="1"/>
  <c r="H113" i="19" s="1"/>
  <c r="H115" i="19" s="1"/>
  <c r="I108" i="19" s="1"/>
  <c r="I109" i="19" s="1"/>
  <c r="E118" i="19" s="1"/>
  <c r="E119" i="19" s="1"/>
  <c r="K77" i="16"/>
  <c r="L88" i="16"/>
  <c r="K92" i="16" s="1"/>
  <c r="E99" i="19"/>
  <c r="E100" i="19" s="1"/>
  <c r="K29" i="16"/>
  <c r="K27" i="16"/>
  <c r="K28" i="16" s="1"/>
  <c r="K31" i="16"/>
  <c r="K33" i="16"/>
  <c r="F14" i="18"/>
  <c r="F22" i="18" s="1"/>
  <c r="H7" i="18"/>
  <c r="H10" i="18" s="1"/>
  <c r="H11" i="18" s="1"/>
  <c r="K99" i="16"/>
  <c r="K87" i="16"/>
  <c r="E102" i="19"/>
  <c r="E120" i="19" s="1"/>
  <c r="E121" i="19" s="1"/>
  <c r="G51" i="14"/>
  <c r="F12" i="18"/>
  <c r="F11" i="18"/>
  <c r="F21" i="18" s="1"/>
  <c r="F23" i="18" s="1"/>
  <c r="M30" i="16"/>
  <c r="M32" i="16" s="1"/>
  <c r="L39" i="16" s="1"/>
  <c r="N39" i="16" s="1"/>
  <c r="N41" i="16" s="1"/>
  <c r="I45" i="16" s="1"/>
  <c r="I46" i="16" s="1"/>
  <c r="I52" i="16" s="1"/>
  <c r="H18" i="15"/>
  <c r="H16" i="15"/>
  <c r="H14" i="15"/>
  <c r="H15" i="15" s="1"/>
  <c r="F17" i="15"/>
  <c r="F19" i="15" s="1"/>
  <c r="F21" i="15" s="1"/>
  <c r="D20" i="15"/>
  <c r="D18" i="15"/>
  <c r="D16" i="15"/>
  <c r="D14" i="15"/>
  <c r="D15" i="15" s="1"/>
  <c r="G18" i="13"/>
  <c r="H16" i="13"/>
  <c r="H18" i="13" s="1"/>
  <c r="C17" i="14"/>
  <c r="C19" i="14" s="1"/>
  <c r="C21" i="14" s="1"/>
  <c r="C20" i="15"/>
  <c r="C18" i="15"/>
  <c r="C16" i="15"/>
  <c r="C14" i="15"/>
  <c r="C15" i="15" s="1"/>
  <c r="K101" i="16" l="1"/>
  <c r="L65" i="16"/>
  <c r="K30" i="16"/>
  <c r="K32" i="16" s="1"/>
  <c r="K34" i="16" s="1"/>
  <c r="K36" i="16" s="1"/>
  <c r="I51" i="16" s="1"/>
  <c r="I53" i="16" s="1"/>
  <c r="C22" i="14"/>
  <c r="K82" i="16"/>
  <c r="K80" i="16"/>
  <c r="K78" i="16"/>
  <c r="K79" i="16" s="1"/>
  <c r="F15" i="18"/>
  <c r="F19" i="18"/>
  <c r="H17" i="15"/>
  <c r="H19" i="15" s="1"/>
  <c r="F22" i="15"/>
  <c r="D17" i="15"/>
  <c r="D19" i="15" s="1"/>
  <c r="D21" i="15" s="1"/>
  <c r="C17" i="15"/>
  <c r="C19" i="15" s="1"/>
  <c r="C21" i="15" s="1"/>
  <c r="K81" i="16" l="1"/>
  <c r="K83" i="16" s="1"/>
  <c r="K86" i="16" s="1"/>
  <c r="K88" i="16" s="1"/>
  <c r="K91" i="16" s="1"/>
  <c r="L91" i="16" s="1"/>
  <c r="K96" i="16" s="1"/>
  <c r="K98" i="16" s="1"/>
  <c r="K100" i="16" s="1"/>
  <c r="K102" i="16" s="1"/>
  <c r="D22" i="15"/>
  <c r="C22" i="15"/>
  <c r="Z17" i="9" l="1"/>
  <c r="Z18" i="9"/>
  <c r="Z19" i="9"/>
  <c r="Y16" i="9"/>
  <c r="W17" i="9"/>
  <c r="W18" i="9"/>
  <c r="W19" i="9"/>
  <c r="V16" i="9"/>
  <c r="U16" i="9"/>
  <c r="T16" i="9"/>
  <c r="S16" i="9"/>
  <c r="R16" i="9"/>
  <c r="Q16" i="9"/>
  <c r="P16" i="9"/>
  <c r="N17" i="9"/>
  <c r="N18" i="9"/>
  <c r="N19" i="9"/>
  <c r="K16" i="9"/>
  <c r="L16" i="9"/>
  <c r="M16" i="9"/>
  <c r="K17" i="9"/>
  <c r="L17" i="9"/>
  <c r="M17" i="9"/>
  <c r="K18" i="9"/>
  <c r="L18" i="9"/>
  <c r="M18" i="9"/>
  <c r="K19" i="9"/>
  <c r="L19" i="9"/>
  <c r="M19" i="9"/>
  <c r="J16" i="9"/>
  <c r="J17" i="9"/>
  <c r="J18" i="9"/>
  <c r="J19" i="9"/>
  <c r="G28" i="9"/>
  <c r="D16" i="9"/>
  <c r="F16" i="9" s="1"/>
  <c r="F3" i="9"/>
  <c r="F2" i="9"/>
  <c r="G13" i="9" s="1"/>
  <c r="F17" i="9"/>
  <c r="F18" i="9"/>
  <c r="F19" i="9"/>
  <c r="F62" i="11"/>
  <c r="F60" i="11"/>
  <c r="J66" i="11"/>
  <c r="J65" i="11"/>
  <c r="J64" i="11"/>
  <c r="J63" i="11"/>
  <c r="J62" i="11"/>
  <c r="J61" i="11"/>
  <c r="F59" i="11"/>
  <c r="F58" i="11"/>
  <c r="F57" i="11"/>
  <c r="C44" i="11"/>
  <c r="C46" i="11" s="1"/>
  <c r="C48" i="11" s="1"/>
  <c r="D39" i="11"/>
  <c r="D37" i="11"/>
  <c r="B35" i="11"/>
  <c r="B34" i="11"/>
  <c r="F34" i="11"/>
  <c r="B33" i="11"/>
  <c r="D26" i="11"/>
  <c r="D27" i="11" s="1"/>
  <c r="C19" i="11"/>
  <c r="C20" i="11"/>
  <c r="C21" i="11"/>
  <c r="C22" i="11"/>
  <c r="C18" i="11"/>
  <c r="C13" i="11"/>
  <c r="C14" i="11" s="1"/>
  <c r="C15" i="11" s="1"/>
  <c r="C16" i="11" s="1"/>
  <c r="D21" i="11" s="1"/>
  <c r="D4" i="11"/>
  <c r="E4" i="11" s="1"/>
  <c r="F4" i="11" s="1"/>
  <c r="L47" i="1"/>
  <c r="L42" i="1"/>
  <c r="M42" i="1"/>
  <c r="N42" i="1"/>
  <c r="K42" i="1"/>
  <c r="N44" i="1"/>
  <c r="M44" i="1"/>
  <c r="L44" i="1"/>
  <c r="K44" i="1"/>
  <c r="L35" i="1"/>
  <c r="M35" i="1"/>
  <c r="N35" i="1"/>
  <c r="K35" i="1"/>
  <c r="K29" i="1"/>
  <c r="L29" i="1" s="1"/>
  <c r="K47" i="1" s="1"/>
  <c r="J30" i="1"/>
  <c r="K30" i="1" s="1"/>
  <c r="L30" i="1" s="1"/>
  <c r="M30" i="1" s="1"/>
  <c r="J31" i="1"/>
  <c r="K31" i="1" s="1"/>
  <c r="L31" i="1" s="1"/>
  <c r="M47" i="1" s="1"/>
  <c r="J32" i="1"/>
  <c r="K32" i="1" s="1"/>
  <c r="L32" i="1" s="1"/>
  <c r="N47" i="1" s="1"/>
  <c r="J29" i="1"/>
  <c r="L4" i="1"/>
  <c r="M4" i="1"/>
  <c r="N4" i="1"/>
  <c r="K4" i="1"/>
  <c r="K11" i="1" s="1"/>
  <c r="F24" i="10"/>
  <c r="F23" i="10"/>
  <c r="F6" i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G5" i="1"/>
  <c r="G6" i="1" s="1"/>
  <c r="F5" i="1"/>
  <c r="G16" i="9" l="1"/>
  <c r="K6" i="1"/>
  <c r="K7" i="1"/>
  <c r="K5" i="1"/>
  <c r="N7" i="1"/>
  <c r="N5" i="1"/>
  <c r="N6" i="1"/>
  <c r="M6" i="1"/>
  <c r="M7" i="1"/>
  <c r="M5" i="1"/>
  <c r="L6" i="1"/>
  <c r="L7" i="1"/>
  <c r="L5" i="1"/>
  <c r="C51" i="11"/>
  <c r="C52" i="11" s="1"/>
  <c r="C53" i="11" s="1"/>
  <c r="F56" i="11"/>
  <c r="F61" i="11" s="1"/>
  <c r="C12" i="9"/>
  <c r="M29" i="1"/>
  <c r="C15" i="9"/>
  <c r="G12" i="9"/>
  <c r="M32" i="1"/>
  <c r="C14" i="9"/>
  <c r="G15" i="9"/>
  <c r="M31" i="1"/>
  <c r="C13" i="9"/>
  <c r="G14" i="9"/>
  <c r="O46" i="1"/>
  <c r="F7" i="1"/>
  <c r="G7" i="1"/>
  <c r="G8" i="1" s="1"/>
  <c r="F8" i="1"/>
  <c r="F4" i="9"/>
  <c r="L8" i="1" l="1"/>
  <c r="M8" i="1"/>
  <c r="N8" i="1"/>
  <c r="K8" i="1"/>
  <c r="I16" i="9"/>
  <c r="O16" i="9" s="1"/>
  <c r="X16" i="9" s="1"/>
  <c r="AA16" i="9" s="1"/>
  <c r="I17" i="9"/>
  <c r="O17" i="9" s="1"/>
  <c r="X17" i="9" s="1"/>
  <c r="AA17" i="9" s="1"/>
  <c r="I18" i="9"/>
  <c r="O18" i="9" s="1"/>
  <c r="X18" i="9" s="1"/>
  <c r="AA18" i="9" s="1"/>
  <c r="I19" i="9"/>
  <c r="O19" i="9" s="1"/>
  <c r="X19" i="9" s="1"/>
  <c r="AA19" i="9" s="1"/>
  <c r="H16" i="9"/>
  <c r="N16" i="9" s="1"/>
  <c r="W16" i="9" s="1"/>
  <c r="Z16" i="9" s="1"/>
  <c r="G24" i="9"/>
  <c r="F63" i="11"/>
  <c r="G63" i="11" s="1"/>
  <c r="G62" i="11"/>
  <c r="F9" i="1"/>
  <c r="G9" i="1"/>
  <c r="C24" i="1"/>
  <c r="E14" i="7"/>
  <c r="E13" i="7"/>
  <c r="C13" i="7"/>
  <c r="E12" i="7"/>
  <c r="E11" i="7"/>
  <c r="D38" i="7"/>
  <c r="D39" i="7"/>
  <c r="D41" i="7" s="1"/>
  <c r="C42" i="7"/>
  <c r="C41" i="7"/>
  <c r="C40" i="7"/>
  <c r="C39" i="7"/>
  <c r="C38" i="7"/>
  <c r="D17" i="7"/>
  <c r="D23" i="7" s="1"/>
  <c r="E23" i="7" s="1"/>
  <c r="D18" i="7"/>
  <c r="D19" i="7"/>
  <c r="D20" i="7"/>
  <c r="D21" i="7"/>
  <c r="D22" i="7"/>
  <c r="D16" i="7"/>
  <c r="C23" i="7"/>
  <c r="C9" i="7"/>
  <c r="D3" i="7"/>
  <c r="D4" i="7"/>
  <c r="D5" i="7"/>
  <c r="D6" i="7"/>
  <c r="D7" i="7"/>
  <c r="D2" i="7"/>
  <c r="F10" i="1" l="1"/>
  <c r="G10" i="1"/>
  <c r="D40" i="7"/>
  <c r="D8" i="7"/>
  <c r="D9" i="7" s="1"/>
  <c r="E9" i="7" s="1"/>
  <c r="F11" i="1" l="1"/>
  <c r="G11" i="1"/>
  <c r="G12" i="1" l="1"/>
  <c r="F12" i="1"/>
  <c r="K9" i="1"/>
  <c r="M9" i="1"/>
  <c r="N9" i="1"/>
  <c r="L9" i="1"/>
  <c r="L45" i="1" l="1"/>
  <c r="L46" i="1" s="1"/>
  <c r="L48" i="1" s="1"/>
  <c r="L50" i="1" s="1"/>
  <c r="L51" i="1" s="1"/>
  <c r="S30" i="1"/>
  <c r="N45" i="1"/>
  <c r="N46" i="1" s="1"/>
  <c r="N48" i="1" s="1"/>
  <c r="N50" i="1" s="1"/>
  <c r="N51" i="1" s="1"/>
  <c r="S32" i="1"/>
  <c r="M45" i="1"/>
  <c r="M46" i="1" s="1"/>
  <c r="M48" i="1" s="1"/>
  <c r="M50" i="1" s="1"/>
  <c r="M51" i="1" s="1"/>
  <c r="S31" i="1"/>
  <c r="K45" i="1"/>
  <c r="K46" i="1" s="1"/>
  <c r="K48" i="1" s="1"/>
  <c r="K50" i="1" s="1"/>
  <c r="K51" i="1" s="1"/>
  <c r="S29" i="1"/>
  <c r="G13" i="1"/>
  <c r="F13" i="1"/>
  <c r="T32" i="1" l="1"/>
  <c r="O32" i="1" s="1"/>
  <c r="P32" i="1" s="1"/>
  <c r="N38" i="1"/>
  <c r="N39" i="1" s="1"/>
  <c r="T31" i="1"/>
  <c r="O31" i="1" s="1"/>
  <c r="P31" i="1" s="1"/>
  <c r="M38" i="1"/>
  <c r="M39" i="1" s="1"/>
  <c r="T30" i="1"/>
  <c r="O30" i="1" s="1"/>
  <c r="P30" i="1" s="1"/>
  <c r="L38" i="1"/>
  <c r="L39" i="1" s="1"/>
  <c r="T29" i="1"/>
  <c r="O29" i="1" s="1"/>
  <c r="K38" i="1"/>
  <c r="K39" i="1" s="1"/>
  <c r="F14" i="1"/>
  <c r="G14" i="1"/>
  <c r="Q30" i="1" l="1"/>
  <c r="D13" i="9" s="1"/>
  <c r="Q32" i="1"/>
  <c r="D15" i="9" s="1"/>
  <c r="Q31" i="1"/>
  <c r="D14" i="9" s="1"/>
  <c r="P29" i="1"/>
  <c r="G15" i="1"/>
  <c r="F15" i="1"/>
  <c r="F14" i="9" l="1"/>
  <c r="I14" i="9" s="1"/>
  <c r="F15" i="9"/>
  <c r="I15" i="9" s="1"/>
  <c r="F13" i="9"/>
  <c r="I13" i="9" s="1"/>
  <c r="Q29" i="1"/>
  <c r="D12" i="9" s="1"/>
  <c r="F16" i="1"/>
  <c r="G16" i="1"/>
  <c r="H15" i="9" l="1"/>
  <c r="H14" i="9"/>
  <c r="H13" i="9"/>
  <c r="Y15" i="9"/>
  <c r="L15" i="9"/>
  <c r="J15" i="9"/>
  <c r="M15" i="9"/>
  <c r="T15" i="9"/>
  <c r="Q15" i="9"/>
  <c r="P15" i="9"/>
  <c r="U15" i="9"/>
  <c r="R15" i="9"/>
  <c r="S15" i="9"/>
  <c r="K15" i="9"/>
  <c r="V15" i="9"/>
  <c r="U13" i="9"/>
  <c r="K13" i="9"/>
  <c r="V13" i="9"/>
  <c r="M13" i="9"/>
  <c r="Y13" i="9"/>
  <c r="J13" i="9"/>
  <c r="S13" i="9"/>
  <c r="P13" i="9"/>
  <c r="T13" i="9"/>
  <c r="R13" i="9"/>
  <c r="Q13" i="9"/>
  <c r="L13" i="9"/>
  <c r="S14" i="9"/>
  <c r="M14" i="9"/>
  <c r="U14" i="9"/>
  <c r="K14" i="9"/>
  <c r="Q14" i="9"/>
  <c r="L14" i="9"/>
  <c r="R14" i="9"/>
  <c r="V14" i="9"/>
  <c r="P14" i="9"/>
  <c r="Y14" i="9"/>
  <c r="T14" i="9"/>
  <c r="J14" i="9"/>
  <c r="F12" i="9"/>
  <c r="V12" i="9" s="1"/>
  <c r="G23" i="9"/>
  <c r="G25" i="9" s="1"/>
  <c r="G27" i="9" s="1"/>
  <c r="G29" i="9" s="1"/>
  <c r="G17" i="1"/>
  <c r="F17" i="1"/>
  <c r="I12" i="9" l="1"/>
  <c r="H12" i="9"/>
  <c r="N15" i="9"/>
  <c r="W15" i="9" s="1"/>
  <c r="Z15" i="9" s="1"/>
  <c r="O15" i="9"/>
  <c r="X15" i="9" s="1"/>
  <c r="AA15" i="9" s="1"/>
  <c r="N14" i="9"/>
  <c r="W14" i="9" s="1"/>
  <c r="Z14" i="9" s="1"/>
  <c r="O14" i="9"/>
  <c r="X14" i="9" s="1"/>
  <c r="AA14" i="9" s="1"/>
  <c r="N13" i="9"/>
  <c r="W13" i="9" s="1"/>
  <c r="Z13" i="9" s="1"/>
  <c r="J12" i="9"/>
  <c r="T12" i="9"/>
  <c r="M12" i="9"/>
  <c r="P12" i="9"/>
  <c r="K12" i="9"/>
  <c r="U12" i="9"/>
  <c r="Q12" i="9"/>
  <c r="L12" i="9"/>
  <c r="S12" i="9"/>
  <c r="Y12" i="9"/>
  <c r="R12" i="9"/>
  <c r="O13" i="9"/>
  <c r="X13" i="9" s="1"/>
  <c r="AA13" i="9" s="1"/>
  <c r="F18" i="1"/>
  <c r="G18" i="1"/>
  <c r="N12" i="9" l="1"/>
  <c r="W12" i="9" s="1"/>
  <c r="Z12" i="9" s="1"/>
  <c r="O12" i="9"/>
  <c r="X12" i="9" s="1"/>
  <c r="AA12" i="9" s="1"/>
</calcChain>
</file>

<file path=xl/sharedStrings.xml><?xml version="1.0" encoding="utf-8"?>
<sst xmlns="http://schemas.openxmlformats.org/spreadsheetml/2006/main" count="1003" uniqueCount="545">
  <si>
    <t>Vacaciones</t>
  </si>
  <si>
    <t>Desde</t>
  </si>
  <si>
    <t>Hasta</t>
  </si>
  <si>
    <t>Días</t>
  </si>
  <si>
    <t>Para llenado</t>
  </si>
  <si>
    <t>Día</t>
  </si>
  <si>
    <t>Lunes</t>
  </si>
  <si>
    <t>Caso 1</t>
  </si>
  <si>
    <t>Caso 2</t>
  </si>
  <si>
    <t>Caso 3</t>
  </si>
  <si>
    <t>Caso 4</t>
  </si>
  <si>
    <t>Martes</t>
  </si>
  <si>
    <t>Miércoles</t>
  </si>
  <si>
    <t>Jueves</t>
  </si>
  <si>
    <t>Viernes</t>
  </si>
  <si>
    <t>Sábado</t>
  </si>
  <si>
    <t>Domingo</t>
  </si>
  <si>
    <t>Salario Mensual</t>
  </si>
  <si>
    <t>Salario mínimo general</t>
  </si>
  <si>
    <t>Salario mínimo zona norte</t>
  </si>
  <si>
    <t>Unidad de Medida y Actulización</t>
  </si>
  <si>
    <t>Integración salarial</t>
  </si>
  <si>
    <t>Concepto</t>
  </si>
  <si>
    <t>Importe anual</t>
  </si>
  <si>
    <t>Importe mensual</t>
  </si>
  <si>
    <t>Importe diario</t>
  </si>
  <si>
    <t>Total</t>
  </si>
  <si>
    <t>- Art. 66 No más de 3 horas, no más de 3 días</t>
  </si>
  <si>
    <t>Descripción</t>
  </si>
  <si>
    <t>Consecuencia</t>
  </si>
  <si>
    <t>El tiempo extra excedente es ilegal</t>
  </si>
  <si>
    <t>- Art.67.  Importe a pagar por tiempos extra</t>
  </si>
  <si>
    <t>El tiempo extra se paga con un 100% más del tiempo ordinario (doble)</t>
  </si>
  <si>
    <t>-Art.68.  El tiempo extra que exceda de 9 HORAS</t>
  </si>
  <si>
    <t>Se paga con un 200% más del tiempo ordinario (triple) sin perjuicio de las sanciones establecidas en ley</t>
  </si>
  <si>
    <t>TE</t>
  </si>
  <si>
    <t>Salario diario</t>
  </si>
  <si>
    <t>Horas totales</t>
  </si>
  <si>
    <t>Salario por hora</t>
  </si>
  <si>
    <t>Salario doble</t>
  </si>
  <si>
    <t>Salario triple</t>
  </si>
  <si>
    <t>9 horas dobles</t>
  </si>
  <si>
    <t xml:space="preserve">Excedió </t>
  </si>
  <si>
    <t>3 dobles y dos triple</t>
  </si>
  <si>
    <t>3 dobles y una triple</t>
  </si>
  <si>
    <t>lunes</t>
  </si>
  <si>
    <t>martes</t>
  </si>
  <si>
    <t>Legal</t>
  </si>
  <si>
    <t>ilegal</t>
  </si>
  <si>
    <t>Doble</t>
  </si>
  <si>
    <t>Dobles las primeras 3 son legales, las últimas dos son ilegales</t>
  </si>
  <si>
    <t>No es TE, es un día de descanso trabajado</t>
  </si>
  <si>
    <t>Se paga un salario doble adicional, por el servicio prestado</t>
  </si>
  <si>
    <t>Prima dominicial de 25%</t>
  </si>
  <si>
    <t>Tiempo extra</t>
  </si>
  <si>
    <t>Salario de la semana</t>
  </si>
  <si>
    <t>Ingreso</t>
  </si>
  <si>
    <t>Aniversario</t>
  </si>
  <si>
    <t>A partir de esta fecha, contamos con 6 meses para disfrutar de las vacaciones</t>
  </si>
  <si>
    <t>514 LFT</t>
  </si>
  <si>
    <t>Acciones laborales prescriben en un año a partir de ser exigibles</t>
  </si>
  <si>
    <t>miercoles</t>
  </si>
  <si>
    <t>legal</t>
  </si>
  <si>
    <t>art 66</t>
  </si>
  <si>
    <t>arts 67 y 68</t>
  </si>
  <si>
    <t>Dobles</t>
  </si>
  <si>
    <t>Triples</t>
  </si>
  <si>
    <t>SALARIO MÍNIMO</t>
  </si>
  <si>
    <t>UMA DIARIA</t>
  </si>
  <si>
    <t>3 UMAS</t>
  </si>
  <si>
    <t>EMPRESA "X"</t>
  </si>
  <si>
    <t>DETERMINACIÓN DE CUOTAS OBRERO PATRONALES IMSS - INFONAVIT</t>
  </si>
  <si>
    <t>No.</t>
  </si>
  <si>
    <t>SALARIO DIARIO</t>
  </si>
  <si>
    <t>SALARIO DIARIO INTEGRADO</t>
  </si>
  <si>
    <t>DIAS TRABAJADOS</t>
  </si>
  <si>
    <t>SALARIO BASE DE COTIZACIÓN</t>
  </si>
  <si>
    <t>ENFERMEDADES Y MATERNIDAD</t>
  </si>
  <si>
    <t>INVALIDEZ Y VIDA</t>
  </si>
  <si>
    <t>GUARDERIAS</t>
  </si>
  <si>
    <t>RETIRO</t>
  </si>
  <si>
    <t>CESANTÍA Y VEJEZ</t>
  </si>
  <si>
    <t>RIESGO DE TRABAJO</t>
  </si>
  <si>
    <t>TOTAL</t>
  </si>
  <si>
    <t>INFONAVIT</t>
  </si>
  <si>
    <t>CUOTA FIJA</t>
  </si>
  <si>
    <t>EXCEDENTE DE 3 UMAS</t>
  </si>
  <si>
    <t>PRESTACIONES EN DINERO</t>
  </si>
  <si>
    <t>RESERVA DE PENSIONADOS</t>
  </si>
  <si>
    <t>PATRÓN</t>
  </si>
  <si>
    <t>TRABAJADOR</t>
  </si>
  <si>
    <t>PATRÒN</t>
  </si>
  <si>
    <t xml:space="preserve">PATRÓN </t>
  </si>
  <si>
    <t>Celda</t>
  </si>
  <si>
    <t>B2</t>
  </si>
  <si>
    <t>Rango</t>
  </si>
  <si>
    <t>E8</t>
  </si>
  <si>
    <t>B4</t>
  </si>
  <si>
    <t>(B4:E8)</t>
  </si>
  <si>
    <t>Trabajador</t>
  </si>
  <si>
    <t>Pedro Juárez</t>
  </si>
  <si>
    <t>Pedro López</t>
  </si>
  <si>
    <t>Juan Rios</t>
  </si>
  <si>
    <t>Sergio Sánchez</t>
  </si>
  <si>
    <t>Edad</t>
  </si>
  <si>
    <t>Salario</t>
  </si>
  <si>
    <t>Columnas</t>
  </si>
  <si>
    <t>Buscarv =</t>
  </si>
  <si>
    <t>Buscar Verticalmente</t>
  </si>
  <si>
    <t>Buscarh =</t>
  </si>
  <si>
    <t>Buscar horizontalmente</t>
  </si>
  <si>
    <t>Fecha de ingreso</t>
  </si>
  <si>
    <t>Fecha de cálculo</t>
  </si>
  <si>
    <t>Años</t>
  </si>
  <si>
    <t>Meses</t>
  </si>
  <si>
    <t>Años con fracción</t>
  </si>
  <si>
    <t>Días de vacaciones</t>
  </si>
  <si>
    <t>Prima vacacacional</t>
  </si>
  <si>
    <t>Salario mensual</t>
  </si>
  <si>
    <t>Salario Diario</t>
  </si>
  <si>
    <t>Aguinaldo</t>
  </si>
  <si>
    <t>Salario anual</t>
  </si>
  <si>
    <t xml:space="preserve">Salario vacaciones </t>
  </si>
  <si>
    <t>Percepción anual</t>
  </si>
  <si>
    <t>Salario Integrado</t>
  </si>
  <si>
    <t>Prima Vacacional</t>
  </si>
  <si>
    <t>Factor (%)</t>
  </si>
  <si>
    <t>Factor de integración</t>
  </si>
  <si>
    <t>Nuevo trabajador</t>
  </si>
  <si>
    <t>Aportación</t>
  </si>
  <si>
    <t>Patrón</t>
  </si>
  <si>
    <t>* No se retire más de dos veces (tres)</t>
  </si>
  <si>
    <t>Art. 27 F.XI. LISR</t>
  </si>
  <si>
    <t>- No exceda del 13% del salario del trabajador</t>
  </si>
  <si>
    <t>- No exceda 1.3 UMAS elevadas al año</t>
  </si>
  <si>
    <t>UMA MENSUAL</t>
  </si>
  <si>
    <t>UMA ANUAL</t>
  </si>
  <si>
    <t>1.3 UMA ANUAL</t>
  </si>
  <si>
    <t>No deducible</t>
  </si>
  <si>
    <t>Art.93 LISR</t>
  </si>
  <si>
    <t>F.XI</t>
  </si>
  <si>
    <t>Gravado para el trabajador</t>
  </si>
  <si>
    <t>Hay que cobrarle</t>
  </si>
  <si>
    <t>20% SM</t>
  </si>
  <si>
    <t>SMG</t>
  </si>
  <si>
    <t>Por cada día que el trabajador haga uso del comedor</t>
  </si>
  <si>
    <t>hay que cobrarle $ 24.64</t>
  </si>
  <si>
    <t>Si no se le cobra o se le cobra menos, la alimentación integra salario</t>
  </si>
  <si>
    <t>mensuales</t>
  </si>
  <si>
    <t>Diario</t>
  </si>
  <si>
    <t>Art. 32 LIMSS</t>
  </si>
  <si>
    <t>1 Comida</t>
  </si>
  <si>
    <t>2 Comidas</t>
  </si>
  <si>
    <t>3 Comidas</t>
  </si>
  <si>
    <t>L-V</t>
  </si>
  <si>
    <t>Número d</t>
  </si>
  <si>
    <t>Variable</t>
  </si>
  <si>
    <t>Habitación</t>
  </si>
  <si>
    <t>Onerosa</t>
  </si>
  <si>
    <t>Cobrar</t>
  </si>
  <si>
    <t xml:space="preserve">Integra </t>
  </si>
  <si>
    <t>Salario mínimo</t>
  </si>
  <si>
    <t>Limite</t>
  </si>
  <si>
    <t>Importe máximo</t>
  </si>
  <si>
    <t>Limite mensual</t>
  </si>
  <si>
    <t>Vales de despensa</t>
  </si>
  <si>
    <t>No integra</t>
  </si>
  <si>
    <t>Integra</t>
  </si>
  <si>
    <t>Mensual</t>
  </si>
  <si>
    <t>Diaria</t>
  </si>
  <si>
    <t>Art 24. LISR. Vales de despensa - electrónicos</t>
  </si>
  <si>
    <t>Deducibilidad</t>
  </si>
  <si>
    <t>Efectivo o vales</t>
  </si>
  <si>
    <t>Ayuda despensa</t>
  </si>
  <si>
    <t>Efectivo</t>
  </si>
  <si>
    <t>Fondo de ahorro</t>
  </si>
  <si>
    <t>Renta - Gravado - salario</t>
  </si>
  <si>
    <t>Salario Diario Integrado</t>
  </si>
  <si>
    <t>Julio - Agosto</t>
  </si>
  <si>
    <t>Salario Base de cotización</t>
  </si>
  <si>
    <t>Cantidad bimestral</t>
  </si>
  <si>
    <t>El premio de asistencia y el premio de puntualidad, aun y cuando no integren salario para efecto de IMSS, están gravados para ISR</t>
  </si>
  <si>
    <t>Son salario</t>
  </si>
  <si>
    <t>Premio asistencia</t>
  </si>
  <si>
    <t>Premio de puntual.</t>
  </si>
  <si>
    <t>4 semanas</t>
  </si>
  <si>
    <t>9 horas</t>
  </si>
  <si>
    <t>salario doble</t>
  </si>
  <si>
    <t>4 Semanas</t>
  </si>
  <si>
    <t>Exento</t>
  </si>
  <si>
    <t>gravado</t>
  </si>
  <si>
    <t>Par. Exento</t>
  </si>
  <si>
    <t>Igual o menos de 3 UMAS</t>
  </si>
  <si>
    <t>Más de 3 UMAS</t>
  </si>
  <si>
    <t>SDI</t>
  </si>
  <si>
    <t>Diferencia</t>
  </si>
  <si>
    <t>BASE</t>
  </si>
  <si>
    <t xml:space="preserve">% </t>
  </si>
  <si>
    <t xml:space="preserve">Importe </t>
  </si>
  <si>
    <t>TARIFA ISR MENSUAL</t>
  </si>
  <si>
    <t>Límite Inferior</t>
  </si>
  <si>
    <t>Límite Superior</t>
  </si>
  <si>
    <t>Cuota Fija</t>
  </si>
  <si>
    <t>En adelante</t>
  </si>
  <si>
    <t>TARIFA ISR ANUAL</t>
  </si>
  <si>
    <t>TARIFA DE SUBSIDIO MENSUAL</t>
  </si>
  <si>
    <t>Para Ingresos de:</t>
  </si>
  <si>
    <t>Hasta Ingresos de:</t>
  </si>
  <si>
    <t>Cantidad de subsidio para el empleo mensual</t>
  </si>
  <si>
    <t>Cuota fija</t>
  </si>
  <si>
    <t>% sobre excedente de límite inferior</t>
  </si>
  <si>
    <t>TARIFA ISR QUINCENAL</t>
  </si>
  <si>
    <t>TARIFA DE SUBSIDIO QUINCENAL</t>
  </si>
  <si>
    <t>miércoles</t>
  </si>
  <si>
    <t>jueves</t>
  </si>
  <si>
    <t>viernes</t>
  </si>
  <si>
    <t>sábado</t>
  </si>
  <si>
    <t>domingo</t>
  </si>
  <si>
    <t>Hora</t>
  </si>
  <si>
    <t>Triple</t>
  </si>
  <si>
    <t>50% exento</t>
  </si>
  <si>
    <t>50% gravado</t>
  </si>
  <si>
    <t>Siempre y cuando el importe exento, no exceda de 5 UMAS por semana</t>
  </si>
  <si>
    <t>UMA</t>
  </si>
  <si>
    <t>5 UMAS</t>
  </si>
  <si>
    <t>A</t>
  </si>
  <si>
    <t>B</t>
  </si>
  <si>
    <t>Legales</t>
  </si>
  <si>
    <t>Ilegales</t>
  </si>
  <si>
    <t>Gravado</t>
  </si>
  <si>
    <t>Gravadas</t>
  </si>
  <si>
    <t>Ingresos totales:</t>
  </si>
  <si>
    <t>Salarios</t>
  </si>
  <si>
    <t>Prima vacacional</t>
  </si>
  <si>
    <t>Pagos por separación</t>
  </si>
  <si>
    <t>Total de ingresos</t>
  </si>
  <si>
    <t>Ingresos exentos:</t>
  </si>
  <si>
    <t>Total de exentos</t>
  </si>
  <si>
    <t>Base gravable</t>
  </si>
  <si>
    <t>Limite inferior</t>
  </si>
  <si>
    <t>Excedente del limite inferior</t>
  </si>
  <si>
    <t>% sobre el excedente</t>
  </si>
  <si>
    <t>Impuesto marginal</t>
  </si>
  <si>
    <t>ISR</t>
  </si>
  <si>
    <t>Subsidio al empleo</t>
  </si>
  <si>
    <t>ISR a retener</t>
  </si>
  <si>
    <t>Subsidio pagado</t>
  </si>
  <si>
    <t>=BUSCARV(C13,ISRM,1,1)</t>
  </si>
  <si>
    <t>=+C13-C14</t>
  </si>
  <si>
    <t>=BUSCARV(C13,ISRM,4,1)</t>
  </si>
  <si>
    <t>=BUSCARV(C13,ISRM,3,1)</t>
  </si>
  <si>
    <t>=+C16*C15</t>
  </si>
  <si>
    <t>=+C17+C18</t>
  </si>
  <si>
    <t>=BUSCARV(C13,SUBSIDIOM,3,1)</t>
  </si>
  <si>
    <t>=SI(C19&gt;C20,C19-C20,0)</t>
  </si>
  <si>
    <t>=SI(C20&gt;C19,C20-C19,0)</t>
  </si>
  <si>
    <t>Quincenal</t>
  </si>
  <si>
    <t>ANUAL</t>
  </si>
  <si>
    <t>Finiquitos:</t>
  </si>
  <si>
    <t>Salarios y prestaciones devengadas</t>
  </si>
  <si>
    <t>Días trabajados</t>
  </si>
  <si>
    <t>Aguinaldo parte proporcional</t>
  </si>
  <si>
    <t>Vacaciones no disfrutadas</t>
  </si>
  <si>
    <t>Otra prestación devengada</t>
  </si>
  <si>
    <t>Liquidaciones</t>
  </si>
  <si>
    <t>Indemnizaciones</t>
  </si>
  <si>
    <t>20 días por año</t>
  </si>
  <si>
    <t>Prima de antigüedad</t>
  </si>
  <si>
    <t>Otro o compensación por separación</t>
  </si>
  <si>
    <t>Gravados</t>
  </si>
  <si>
    <t>parcialmente exentos</t>
  </si>
  <si>
    <t>Parcialmente exenta</t>
  </si>
  <si>
    <t>Gravada</t>
  </si>
  <si>
    <t>Cálculo con tarifa del artículo 96</t>
  </si>
  <si>
    <t>Exención hasta 90 días por año de servicio</t>
  </si>
  <si>
    <t>Excedente entre el total y la exención, es un ingreso gravado - no acumulable</t>
  </si>
  <si>
    <t>Finiquito</t>
  </si>
  <si>
    <t>Liquidación</t>
  </si>
  <si>
    <t>Exento aguinaldo</t>
  </si>
  <si>
    <t>prima vacacional</t>
  </si>
  <si>
    <t>Total exentos</t>
  </si>
  <si>
    <t>1 Qna</t>
  </si>
  <si>
    <t>Total del mes</t>
  </si>
  <si>
    <t>Retención mensual</t>
  </si>
  <si>
    <t>Retención 1A qna</t>
  </si>
  <si>
    <t>Retención en el finiquito</t>
  </si>
  <si>
    <t>Liquidación:</t>
  </si>
  <si>
    <t>3 meses de salario</t>
  </si>
  <si>
    <t xml:space="preserve">Bono </t>
  </si>
  <si>
    <t>Total de ingresos liqudación</t>
  </si>
  <si>
    <t>Ingreso gravado no acumulable</t>
  </si>
  <si>
    <t>ISR IMO</t>
  </si>
  <si>
    <t>IMO</t>
  </si>
  <si>
    <t>=</t>
  </si>
  <si>
    <t>( X )</t>
  </si>
  <si>
    <t>Tasa vinculada</t>
  </si>
  <si>
    <t>ISR al ingreso no acumulable</t>
  </si>
  <si>
    <t>ISR finiquito</t>
  </si>
  <si>
    <t>ISR liquidación</t>
  </si>
  <si>
    <t>Pago neto</t>
  </si>
  <si>
    <t>Exenta</t>
  </si>
  <si>
    <t>I. Mensualiza la percepción extraordinaria</t>
  </si>
  <si>
    <t xml:space="preserve">Entre </t>
  </si>
  <si>
    <t>Aguinaldo diario</t>
  </si>
  <si>
    <t>Por</t>
  </si>
  <si>
    <t>Aguinaldo mensualizado</t>
  </si>
  <si>
    <t>II. ISR IMO más aguinaldo</t>
  </si>
  <si>
    <t>SUMA</t>
  </si>
  <si>
    <t>III. ISR FII - ISR IMO</t>
  </si>
  <si>
    <t>ISR F.II</t>
  </si>
  <si>
    <t>V. DIFERENCIA F.III / Percepción mensualizada</t>
  </si>
  <si>
    <t>percepción mensualizada</t>
  </si>
  <si>
    <t>IV.  Tasa fracción V * Percepción extraordinaria</t>
  </si>
  <si>
    <t>Tasa</t>
  </si>
  <si>
    <t>Percepción extraordinaria</t>
  </si>
  <si>
    <t xml:space="preserve">Total ISR percepción Extr. </t>
  </si>
  <si>
    <t>Retención diciembre</t>
  </si>
  <si>
    <t>ISR procedimiento de reglamento</t>
  </si>
  <si>
    <t>ISR procedimiento de ley</t>
  </si>
  <si>
    <t>Procedimiento es por contribuyente</t>
  </si>
  <si>
    <t>por trabajador</t>
  </si>
  <si>
    <t>1A QNA</t>
  </si>
  <si>
    <t>2a QNA</t>
  </si>
  <si>
    <t>Retención</t>
  </si>
  <si>
    <t>Primera qna</t>
  </si>
  <si>
    <t>segunda qna</t>
  </si>
  <si>
    <t>Segunda Qna</t>
  </si>
  <si>
    <t>Retención ISR</t>
  </si>
  <si>
    <t>Ajuste subsidio</t>
  </si>
  <si>
    <t>Deducción</t>
  </si>
  <si>
    <t>1. Cálculo ordinario de la primera quincena (semana, decena,etc), con la tarifa diseñada al efecto</t>
  </si>
  <si>
    <t>2. Cálculo del período mensual (con la tarifa del artículo 96)</t>
  </si>
  <si>
    <t>3. Cálculo del periodo mensual implica un ajuste versus el cálculo de los primeros períodos</t>
  </si>
  <si>
    <t>Subsidio</t>
  </si>
  <si>
    <t>ISR mensual</t>
  </si>
  <si>
    <t>1Qna</t>
  </si>
  <si>
    <t>Deducción ajuste</t>
  </si>
  <si>
    <t>Disminución</t>
  </si>
  <si>
    <t>Artículo 97 ISR</t>
  </si>
  <si>
    <t xml:space="preserve">Obligación de todos los patrones de efectuar el cálculo del impuesto anual de sus trabajadores. </t>
  </si>
  <si>
    <t>** Art. 96 LISR (tarifa), que el cálculo del impuesto mensual es un pago provisional a cuenta del impuesto anual</t>
  </si>
  <si>
    <t xml:space="preserve">ISR. Es un impuesto de carácter anual </t>
  </si>
  <si>
    <t>En algunos casos se trata de un impuesto definitivo</t>
  </si>
  <si>
    <t>´Calculo de impuesto anual  (artículo 97 LISR)</t>
  </si>
  <si>
    <t>Ingresos totales</t>
  </si>
  <si>
    <t xml:space="preserve">( - ) </t>
  </si>
  <si>
    <t>Ingresos exentos</t>
  </si>
  <si>
    <t>Ingresos gravados</t>
  </si>
  <si>
    <t>Acumulables</t>
  </si>
  <si>
    <t>No acumulables</t>
  </si>
  <si>
    <t>Aplica tarifa (96-152)</t>
  </si>
  <si>
    <t>Procedimiento especial</t>
  </si>
  <si>
    <t>Ingresos gravados acumulables</t>
  </si>
  <si>
    <t>Anual</t>
  </si>
  <si>
    <t>Bono julio</t>
  </si>
  <si>
    <t>5 años en la empresa</t>
  </si>
  <si>
    <t>Pago por separación</t>
  </si>
  <si>
    <t>Exención</t>
  </si>
  <si>
    <t>Total gravado</t>
  </si>
  <si>
    <t>Enero a junio</t>
  </si>
  <si>
    <t xml:space="preserve">Salario mensual </t>
  </si>
  <si>
    <t>Julio</t>
  </si>
  <si>
    <t>Salario + Bono</t>
  </si>
  <si>
    <t>Agosto a noviembre</t>
  </si>
  <si>
    <t>Diciembre</t>
  </si>
  <si>
    <t xml:space="preserve">Exento </t>
  </si>
  <si>
    <t>Total gravado ACUMULABLE</t>
  </si>
  <si>
    <t>ISR del ingreso no acumulable</t>
  </si>
  <si>
    <t>Retenciones:</t>
  </si>
  <si>
    <t>ISR a ingresos acumulables</t>
  </si>
  <si>
    <t>ISR  a ingresos no acumulables</t>
  </si>
  <si>
    <t>ISR retenido 2020</t>
  </si>
  <si>
    <t>Ingreso total</t>
  </si>
  <si>
    <t>Exentos</t>
  </si>
  <si>
    <t>Paga impuesto</t>
  </si>
  <si>
    <t>Ingresos acumulables</t>
  </si>
  <si>
    <t>Ingresos no acumulables</t>
  </si>
  <si>
    <t>último IMO</t>
  </si>
  <si>
    <t xml:space="preserve">Diferencia </t>
  </si>
  <si>
    <t>Ingreso no acumulable 1 mes</t>
  </si>
  <si>
    <t>Base gravable art. 152 LISR</t>
  </si>
  <si>
    <t>ISR A LOS INGRESOS ACUMULABLES</t>
  </si>
  <si>
    <t xml:space="preserve">Base </t>
  </si>
  <si>
    <t>%</t>
  </si>
  <si>
    <t>ISR no acumulables</t>
  </si>
  <si>
    <t>ISR a los ingresos no acumulables</t>
  </si>
  <si>
    <t>ISR anual</t>
  </si>
  <si>
    <t>retenciones del ejercicio</t>
  </si>
  <si>
    <t>ISR a cargo del ejercicio</t>
  </si>
  <si>
    <t>Percepción integra</t>
  </si>
  <si>
    <t>Patrón entera</t>
  </si>
  <si>
    <t>Sin retenerle al trabajador</t>
  </si>
  <si>
    <t>Cuestionamientos al respecto:</t>
  </si>
  <si>
    <t>¿Cómo califican el ISR pagado?</t>
  </si>
  <si>
    <t>Gasto</t>
  </si>
  <si>
    <t>¿Deducible o no deducible?</t>
  </si>
  <si>
    <t>No</t>
  </si>
  <si>
    <t>Para el patrón</t>
  </si>
  <si>
    <t>Para el trabajador</t>
  </si>
  <si>
    <t>¿ISR es un ingreso?</t>
  </si>
  <si>
    <t>En teoría si</t>
  </si>
  <si>
    <t>¿Acumuble o no acumulable?</t>
  </si>
  <si>
    <t>Patrón es no deducible - Trabajador no acumulable</t>
  </si>
  <si>
    <t>40 días de aguinaldo</t>
  </si>
  <si>
    <t>sin deducción alguna</t>
  </si>
  <si>
    <t>"Piramidamos"</t>
  </si>
  <si>
    <t>Buscar una cantidad tal, que disminuida con el impuesto</t>
  </si>
  <si>
    <t>nos resulte en los $ 80,000.00</t>
  </si>
  <si>
    <t>Art. 10.   Adicionando el impuesto a la cantidad</t>
  </si>
  <si>
    <t>Importe</t>
  </si>
  <si>
    <t>Busqueda</t>
  </si>
  <si>
    <t>Días aguinaldo</t>
  </si>
  <si>
    <t>no</t>
  </si>
  <si>
    <t>Importe neto a recibir</t>
  </si>
  <si>
    <t>Conciliación</t>
  </si>
  <si>
    <t>Ingresos</t>
  </si>
  <si>
    <t>Deducciones</t>
  </si>
  <si>
    <t>ISR retenido</t>
  </si>
  <si>
    <t>Neto</t>
  </si>
  <si>
    <t xml:space="preserve">Total D. </t>
  </si>
  <si>
    <t>Otro tipo pago (varios)</t>
  </si>
  <si>
    <t>No esta exento ni gravado</t>
  </si>
  <si>
    <t>* Subsidio al empleo</t>
  </si>
  <si>
    <t>* Isr a favor del trabajador</t>
  </si>
  <si>
    <t>* Préstamos</t>
  </si>
  <si>
    <t>* ISR absorbe el patrón (subsidiado)</t>
  </si>
  <si>
    <t>Honorarios</t>
  </si>
  <si>
    <t>IVA</t>
  </si>
  <si>
    <t xml:space="preserve">Retención IVA </t>
  </si>
  <si>
    <t>Neto prestador del servicio</t>
  </si>
  <si>
    <t>Honorarios neto</t>
  </si>
  <si>
    <t>Gastos</t>
  </si>
  <si>
    <t xml:space="preserve">   Imss (pasivo)</t>
  </si>
  <si>
    <t xml:space="preserve">   Bancos</t>
  </si>
  <si>
    <t>IMSS</t>
  </si>
  <si>
    <t>ISR 1a</t>
  </si>
  <si>
    <t>Subsidio calculado</t>
  </si>
  <si>
    <t>1A</t>
  </si>
  <si>
    <t>2a</t>
  </si>
  <si>
    <t>No le corresponde subsidio</t>
  </si>
  <si>
    <t xml:space="preserve">  IMSS PASIVO</t>
  </si>
  <si>
    <t xml:space="preserve">   ISR (2a QNA)</t>
  </si>
  <si>
    <t xml:space="preserve">   ISR (1 QNA)</t>
  </si>
  <si>
    <t xml:space="preserve">   Subsidio pagado</t>
  </si>
  <si>
    <t xml:space="preserve">Taller de cierre anual. </t>
  </si>
  <si>
    <t>Cierre anual PM</t>
  </si>
  <si>
    <t>Cierre anual PF</t>
  </si>
  <si>
    <t>Cierre de sueldos</t>
  </si>
  <si>
    <t>Presupuestos y proyecciones financieros y fiscales</t>
  </si>
  <si>
    <t xml:space="preserve">Taller Empresas en acción. </t>
  </si>
  <si>
    <t>RH</t>
  </si>
  <si>
    <t>laborales</t>
  </si>
  <si>
    <t>Contabilidad y finanzas para no financieros</t>
  </si>
  <si>
    <t>Impuestos para no contadores</t>
  </si>
  <si>
    <t>Mercado</t>
  </si>
  <si>
    <t>Compliance</t>
  </si>
  <si>
    <t>Cálculo del finiquito</t>
  </si>
  <si>
    <t>Nombre del trabajador</t>
  </si>
  <si>
    <t>Juan Pérez López</t>
  </si>
  <si>
    <t>Días de aguinaldo</t>
  </si>
  <si>
    <t>Fecha de baja</t>
  </si>
  <si>
    <t xml:space="preserve">Salario integrado </t>
  </si>
  <si>
    <t>% de prima vacac.</t>
  </si>
  <si>
    <t>Último cálculo de vacaciones</t>
  </si>
  <si>
    <t>Última nómina del trabajador</t>
  </si>
  <si>
    <t>Percepciones</t>
  </si>
  <si>
    <t>Salario base para cálculo</t>
  </si>
  <si>
    <t>Proporcional de aguinaldo</t>
  </si>
  <si>
    <t>Proporcional de vacaciones</t>
  </si>
  <si>
    <t>Total del finiquito</t>
  </si>
  <si>
    <t>Salario del trabajador</t>
  </si>
  <si>
    <t>Excedente</t>
  </si>
  <si>
    <t>impuesto marginal</t>
  </si>
  <si>
    <t>Impuesto  mensual</t>
  </si>
  <si>
    <t>Primera quincena</t>
  </si>
  <si>
    <t>Exento (15 UMA prima, 30 Aguina)</t>
  </si>
  <si>
    <t>Base mensual del trabajador</t>
  </si>
  <si>
    <t>Retenido 1a quincena</t>
  </si>
  <si>
    <t>Importe a retener finiquito</t>
  </si>
  <si>
    <t xml:space="preserve">Ley Federal del Trabajo. </t>
  </si>
  <si>
    <t>- Indemnización constitucional 48 y 50 / 123 Apartado A</t>
  </si>
  <si>
    <t>3 meses del salario del trabajador</t>
  </si>
  <si>
    <t>- Prima de antigüedad (Art.162 F.III)</t>
  </si>
  <si>
    <t>12 días de salario por años de servicio</t>
  </si>
  <si>
    <t>Topado (limitado) umbral de 2 Salarios mínimos</t>
  </si>
  <si>
    <t>- 20 Días por año</t>
  </si>
  <si>
    <t>90 días</t>
  </si>
  <si>
    <t>Salario integrado - 89 LFT</t>
  </si>
  <si>
    <t>12 días</t>
  </si>
  <si>
    <t>Salario integrado - topado</t>
  </si>
  <si>
    <t>20 días</t>
  </si>
  <si>
    <t xml:space="preserve">Salario integrado - Art.89 </t>
  </si>
  <si>
    <t>Prestación extra - legal</t>
  </si>
  <si>
    <t>- Los que hayan prestados sus servicios durante 15 años por lo menos y se separen voluntariamente - les corresponde</t>
  </si>
  <si>
    <t>- Los que rescindan la relación laboral</t>
  </si>
  <si>
    <t>- Los que sean separados del empleo (despedidos) con o sin justificación</t>
  </si>
  <si>
    <t>Salario cuota diaria</t>
  </si>
  <si>
    <t>Salario integrado</t>
  </si>
  <si>
    <t xml:space="preserve">Salario anualizado </t>
  </si>
  <si>
    <t>Cálculo de la liquidación</t>
  </si>
  <si>
    <t>SM</t>
  </si>
  <si>
    <t>20 días por año ***</t>
  </si>
  <si>
    <t>Pago total por liquidación.</t>
  </si>
  <si>
    <t>***</t>
  </si>
  <si>
    <t>No es obligatorio</t>
  </si>
  <si>
    <t>Cálculo del ISR</t>
  </si>
  <si>
    <t>Pago por liquidación</t>
  </si>
  <si>
    <t>90 umas por año</t>
  </si>
  <si>
    <t>ISR a la liquidación</t>
  </si>
  <si>
    <t>Art. 96 y Art.95</t>
  </si>
  <si>
    <t xml:space="preserve">Salario mensual ordinario </t>
  </si>
  <si>
    <t>Tasa vinculada =</t>
  </si>
  <si>
    <t>ISR del IMO</t>
  </si>
  <si>
    <t xml:space="preserve">Finiquitos - liquidaciones. </t>
  </si>
  <si>
    <t>No se encuentran definidos en ley</t>
  </si>
  <si>
    <t>Uso coloquial</t>
  </si>
  <si>
    <t xml:space="preserve">Finiquito. </t>
  </si>
  <si>
    <t>Prestaciones devengadas:</t>
  </si>
  <si>
    <t>Sueldos</t>
  </si>
  <si>
    <t>Vacaciones devengados pero no disfrutados</t>
  </si>
  <si>
    <t>Cualquier otro tipo de prestación</t>
  </si>
  <si>
    <t xml:space="preserve">Liquidación. </t>
  </si>
  <si>
    <t xml:space="preserve">Indemnizatorios y derechos por terminación </t>
  </si>
  <si>
    <t>anticipada de la relación laboral</t>
  </si>
  <si>
    <t>- indemnización constitucional (90 días)</t>
  </si>
  <si>
    <t>- 20 días por año (48-50 LFT)</t>
  </si>
  <si>
    <t>* Indemnización o reinstale</t>
  </si>
  <si>
    <t>- Prima de antigüedad</t>
  </si>
  <si>
    <t>* Cálculando con Salario integrado (Laboral)</t>
  </si>
  <si>
    <t>* Art. 89 LFT</t>
  </si>
  <si>
    <t>* Art. 84 LFT</t>
  </si>
  <si>
    <t>Faltas del período</t>
  </si>
  <si>
    <t>Faltas acumuladas</t>
  </si>
  <si>
    <t>Vacaciones períodos anteriores</t>
  </si>
  <si>
    <t>1a quincena</t>
  </si>
  <si>
    <t>Base quincenal</t>
  </si>
  <si>
    <t>Impuesto quincenal</t>
  </si>
  <si>
    <t>ISR del finiquito</t>
  </si>
  <si>
    <t>Neto a pagar</t>
  </si>
  <si>
    <t>Ingresos por salarios</t>
  </si>
  <si>
    <t>Art. 93 LISR F.I - F.XVII</t>
  </si>
  <si>
    <t>Tarifas (96,152)</t>
  </si>
  <si>
    <t xml:space="preserve">IMO, SMO </t>
  </si>
  <si>
    <t>Importe neto</t>
  </si>
  <si>
    <t>Indemnización constitucional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</si>
</sst>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%"/>
    <numFmt numFmtId="165" formatCode="_-* #,##0.000_-;\-* #,##0.000_-;_-* &quot;-&quot;??_-;_-@_-"/>
    <numFmt numFmtId="166" formatCode="_-* #,##0.0000_-;\-* #,##0.0000_-;_-* &quot;-&quot;??_-;_-@_-"/>
    <numFmt numFmtId="167" formatCode="0.0000%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theme="9" tint="0.39997558519241921"/>
      <name val="Calibri"/>
      <family val="2"/>
      <scheme val="minor"/>
    </font>
    <font>
      <sz val="10"/>
      <color rgb="FF333333"/>
      <name val="Arial"/>
      <family val="2"/>
    </font>
    <font>
      <sz val="10"/>
      <color rgb="FF555555"/>
      <name val="Arial"/>
      <family val="2"/>
    </font>
    <font>
      <sz val="11"/>
      <color theme="1"/>
      <name val="Calibri"/>
      <family val="2"/>
    </font>
    <font>
      <sz val="8"/>
      <color rgb="FF555555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2"/>
      <color rgb="FF000000"/>
      <name val="Titillium Web"/>
      <family val="2"/>
    </font>
    <font>
      <sz val="7"/>
      <color rgb="FF999999"/>
      <name val="Inherit"/>
    </font>
    <font>
      <b/>
      <sz val="11"/>
      <color rgb="FF000000"/>
      <name val="Titillium Web"/>
      <family val="2"/>
    </font>
    <font>
      <sz val="9"/>
      <color rgb="FFFBA61A"/>
      <name val="Arial"/>
      <family val="2"/>
    </font>
    <font>
      <sz val="6"/>
      <color rgb="FFFFFFFF"/>
      <name val="Arial"/>
      <family val="2"/>
    </font>
    <font>
      <b/>
      <sz val="9"/>
      <color theme="1"/>
      <name val="Roboto"/>
      <family val="2"/>
    </font>
    <font>
      <b/>
      <sz val="8"/>
      <color rgb="FF7A7A7A"/>
      <name val="Roboto"/>
      <family val="2"/>
    </font>
    <font>
      <u/>
      <sz val="11"/>
      <color theme="1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6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6"/>
        <bgColor indexed="64"/>
      </patternFill>
    </fill>
    <fill>
      <patternFill patternType="solid">
        <fgColor rgb="FFE6EEE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0F0F6"/>
        <bgColor rgb="FF000000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43" fontId="0" fillId="0" borderId="1" xfId="1" applyFont="1" applyBorder="1"/>
    <xf numFmtId="43" fontId="0" fillId="0" borderId="1" xfId="1" applyFont="1" applyBorder="1" applyAlignment="1">
      <alignment horizontal="center"/>
    </xf>
    <xf numFmtId="43" fontId="0" fillId="0" borderId="0" xfId="1" applyFont="1"/>
    <xf numFmtId="0" fontId="2" fillId="0" borderId="0" xfId="0" applyFont="1"/>
    <xf numFmtId="43" fontId="5" fillId="0" borderId="0" xfId="1" applyFont="1"/>
    <xf numFmtId="43" fontId="3" fillId="0" borderId="1" xfId="1" applyFont="1" applyBorder="1"/>
    <xf numFmtId="43" fontId="0" fillId="0" borderId="0" xfId="1" quotePrefix="1" applyFont="1"/>
    <xf numFmtId="43" fontId="0" fillId="0" borderId="0" xfId="1" applyFont="1" applyAlignment="1">
      <alignment horizontal="center"/>
    </xf>
    <xf numFmtId="43" fontId="0" fillId="0" borderId="1" xfId="1" quotePrefix="1" applyFont="1" applyBorder="1"/>
    <xf numFmtId="43" fontId="2" fillId="0" borderId="1" xfId="1" applyFont="1" applyBorder="1" applyAlignment="1">
      <alignment horizontal="center"/>
    </xf>
    <xf numFmtId="43" fontId="0" fillId="0" borderId="1" xfId="1" applyFont="1" applyBorder="1" applyAlignment="1">
      <alignment wrapText="1"/>
    </xf>
    <xf numFmtId="43" fontId="0" fillId="0" borderId="1" xfId="1" quotePrefix="1" applyFont="1" applyBorder="1" applyAlignment="1">
      <alignment vertical="top"/>
    </xf>
    <xf numFmtId="43" fontId="0" fillId="3" borderId="0" xfId="1" applyFont="1" applyFill="1"/>
    <xf numFmtId="43" fontId="5" fillId="0" borderId="1" xfId="1" applyFont="1" applyBorder="1"/>
    <xf numFmtId="43" fontId="3" fillId="0" borderId="0" xfId="1" applyFont="1" applyBorder="1"/>
    <xf numFmtId="15" fontId="0" fillId="0" borderId="0" xfId="0" applyNumberFormat="1"/>
    <xf numFmtId="0" fontId="0" fillId="0" borderId="0" xfId="0" quotePrefix="1"/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4" fontId="6" fillId="0" borderId="1" xfId="2" applyNumberFormat="1" applyFont="1" applyBorder="1" applyAlignment="1">
      <alignment horizontal="center" wrapText="1"/>
    </xf>
    <xf numFmtId="9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43" fontId="0" fillId="0" borderId="1" xfId="0" applyNumberFormat="1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 vertical="center"/>
    </xf>
    <xf numFmtId="43" fontId="0" fillId="5" borderId="1" xfId="1" applyFont="1" applyFill="1" applyBorder="1"/>
    <xf numFmtId="43" fontId="0" fillId="4" borderId="2" xfId="1" applyFont="1" applyFill="1" applyBorder="1"/>
    <xf numFmtId="43" fontId="0" fillId="4" borderId="3" xfId="1" applyFont="1" applyFill="1" applyBorder="1"/>
    <xf numFmtId="43" fontId="0" fillId="4" borderId="4" xfId="1" applyFont="1" applyFill="1" applyBorder="1"/>
    <xf numFmtId="43" fontId="0" fillId="4" borderId="9" xfId="1" applyFont="1" applyFill="1" applyBorder="1"/>
    <xf numFmtId="43" fontId="0" fillId="4" borderId="0" xfId="1" applyFont="1" applyFill="1" applyBorder="1"/>
    <xf numFmtId="43" fontId="0" fillId="4" borderId="10" xfId="1" applyFont="1" applyFill="1" applyBorder="1"/>
    <xf numFmtId="43" fontId="0" fillId="4" borderId="5" xfId="1" applyFont="1" applyFill="1" applyBorder="1"/>
    <xf numFmtId="43" fontId="0" fillId="4" borderId="6" xfId="1" applyFont="1" applyFill="1" applyBorder="1"/>
    <xf numFmtId="43" fontId="0" fillId="4" borderId="7" xfId="1" applyFont="1" applyFill="1" applyBorder="1"/>
    <xf numFmtId="43" fontId="0" fillId="6" borderId="1" xfId="1" applyFont="1" applyFill="1" applyBorder="1" applyAlignment="1">
      <alignment horizontal="center"/>
    </xf>
    <xf numFmtId="0" fontId="0" fillId="0" borderId="0" xfId="1" applyNumberFormat="1" applyFont="1" applyAlignment="1">
      <alignment horizontal="center"/>
    </xf>
    <xf numFmtId="43" fontId="0" fillId="7" borderId="1" xfId="1" applyFont="1" applyFill="1" applyBorder="1"/>
    <xf numFmtId="43" fontId="0" fillId="8" borderId="1" xfId="1" applyFont="1" applyFill="1" applyBorder="1"/>
    <xf numFmtId="43" fontId="0" fillId="8" borderId="1" xfId="1" applyFont="1" applyFill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/>
    </xf>
    <xf numFmtId="0" fontId="5" fillId="0" borderId="0" xfId="0" applyFont="1"/>
    <xf numFmtId="43" fontId="0" fillId="0" borderId="0" xfId="0" applyNumberFormat="1"/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1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9" fontId="0" fillId="0" borderId="0" xfId="0" applyNumberFormat="1"/>
    <xf numFmtId="10" fontId="0" fillId="0" borderId="0" xfId="2" applyNumberFormat="1" applyFont="1"/>
    <xf numFmtId="166" fontId="0" fillId="0" borderId="0" xfId="1" applyNumberFormat="1" applyFont="1"/>
    <xf numFmtId="10" fontId="0" fillId="0" borderId="1" xfId="0" applyNumberFormat="1" applyBorder="1"/>
    <xf numFmtId="10" fontId="0" fillId="0" borderId="1" xfId="2" applyNumberFormat="1" applyFont="1" applyBorder="1"/>
    <xf numFmtId="43" fontId="0" fillId="0" borderId="1" xfId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 wrapText="1"/>
    </xf>
    <xf numFmtId="165" fontId="0" fillId="0" borderId="1" xfId="1" applyNumberFormat="1" applyFont="1" applyBorder="1"/>
    <xf numFmtId="166" fontId="0" fillId="0" borderId="1" xfId="1" applyNumberFormat="1" applyFont="1" applyBorder="1"/>
    <xf numFmtId="166" fontId="2" fillId="0" borderId="1" xfId="1" applyNumberFormat="1" applyFont="1" applyBorder="1"/>
    <xf numFmtId="43" fontId="0" fillId="0" borderId="0" xfId="1" applyFont="1" applyAlignment="1">
      <alignment horizontal="center"/>
    </xf>
    <xf numFmtId="43" fontId="3" fillId="0" borderId="0" xfId="1" applyFont="1"/>
    <xf numFmtId="43" fontId="7" fillId="0" borderId="0" xfId="1" applyFont="1"/>
    <xf numFmtId="9" fontId="0" fillId="0" borderId="0" xfId="1" applyNumberFormat="1" applyFont="1"/>
    <xf numFmtId="43" fontId="2" fillId="0" borderId="0" xfId="1" applyFont="1"/>
    <xf numFmtId="10" fontId="0" fillId="0" borderId="0" xfId="1" applyNumberFormat="1" applyFont="1"/>
    <xf numFmtId="43" fontId="0" fillId="0" borderId="11" xfId="1" applyFont="1" applyFill="1" applyBorder="1"/>
    <xf numFmtId="43" fontId="8" fillId="0" borderId="0" xfId="1" applyFont="1"/>
    <xf numFmtId="164" fontId="0" fillId="0" borderId="0" xfId="0" applyNumberFormat="1"/>
    <xf numFmtId="43" fontId="5" fillId="0" borderId="1" xfId="0" applyNumberFormat="1" applyFont="1" applyBorder="1"/>
    <xf numFmtId="43" fontId="0" fillId="0" borderId="0" xfId="1" applyFont="1" applyAlignment="1">
      <alignment horizontal="center"/>
    </xf>
    <xf numFmtId="43" fontId="10" fillId="10" borderId="1" xfId="3" applyFont="1" applyFill="1" applyBorder="1" applyAlignment="1">
      <alignment horizontal="left" vertical="center" wrapText="1"/>
    </xf>
    <xf numFmtId="43" fontId="10" fillId="11" borderId="1" xfId="3" applyFont="1" applyFill="1" applyBorder="1" applyAlignment="1">
      <alignment vertical="top" wrapText="1"/>
    </xf>
    <xf numFmtId="10" fontId="10" fillId="11" borderId="1" xfId="2" applyNumberFormat="1" applyFont="1" applyFill="1" applyBorder="1" applyAlignment="1">
      <alignment horizontal="center" vertical="top" wrapText="1"/>
    </xf>
    <xf numFmtId="43" fontId="10" fillId="12" borderId="1" xfId="3" applyFont="1" applyFill="1" applyBorder="1" applyAlignment="1">
      <alignment vertical="top" wrapText="1"/>
    </xf>
    <xf numFmtId="10" fontId="10" fillId="12" borderId="1" xfId="2" applyNumberFormat="1" applyFont="1" applyFill="1" applyBorder="1" applyAlignment="1">
      <alignment horizontal="center" vertical="top" wrapText="1"/>
    </xf>
    <xf numFmtId="43" fontId="10" fillId="13" borderId="1" xfId="1" applyFont="1" applyFill="1" applyBorder="1" applyAlignment="1">
      <alignment horizontal="left" vertical="center" wrapText="1"/>
    </xf>
    <xf numFmtId="43" fontId="10" fillId="14" borderId="1" xfId="1" applyFont="1" applyFill="1" applyBorder="1" applyAlignment="1">
      <alignment vertical="top" wrapText="1"/>
    </xf>
    <xf numFmtId="10" fontId="10" fillId="14" borderId="1" xfId="2" applyNumberFormat="1" applyFont="1" applyFill="1" applyBorder="1" applyAlignment="1">
      <alignment horizontal="center" vertical="top" wrapText="1"/>
    </xf>
    <xf numFmtId="43" fontId="10" fillId="15" borderId="1" xfId="1" applyFont="1" applyFill="1" applyBorder="1" applyAlignment="1">
      <alignment vertical="top" wrapText="1"/>
    </xf>
    <xf numFmtId="10" fontId="10" fillId="15" borderId="1" xfId="2" applyNumberFormat="1" applyFont="1" applyFill="1" applyBorder="1" applyAlignment="1">
      <alignment horizontal="center" vertical="top" wrapText="1"/>
    </xf>
    <xf numFmtId="43" fontId="12" fillId="10" borderId="1" xfId="1" applyFont="1" applyFill="1" applyBorder="1" applyAlignment="1">
      <alignment horizontal="center" vertical="center" wrapText="1"/>
    </xf>
    <xf numFmtId="43" fontId="10" fillId="11" borderId="1" xfId="1" applyFont="1" applyFill="1" applyBorder="1" applyAlignment="1">
      <alignment vertical="top" wrapText="1"/>
    </xf>
    <xf numFmtId="43" fontId="10" fillId="12" borderId="1" xfId="1" applyFont="1" applyFill="1" applyBorder="1" applyAlignment="1">
      <alignment vertical="top" wrapText="1"/>
    </xf>
    <xf numFmtId="0" fontId="14" fillId="0" borderId="0" xfId="0" applyFont="1" applyAlignment="1">
      <alignment horizontal="left" vertical="center" wrapText="1"/>
    </xf>
    <xf numFmtId="4" fontId="14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9" fillId="0" borderId="0" xfId="4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 indent="1" readingOrder="1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 vertical="center" wrapText="1" indent="1" readingOrder="1"/>
    </xf>
    <xf numFmtId="0" fontId="0" fillId="11" borderId="0" xfId="0" applyFill="1" applyAlignment="1">
      <alignment vertical="center" wrapText="1"/>
    </xf>
    <xf numFmtId="0" fontId="25" fillId="11" borderId="0" xfId="0" applyFont="1" applyFill="1" applyAlignment="1">
      <alignment vertical="center" wrapText="1"/>
    </xf>
    <xf numFmtId="0" fontId="29" fillId="0" borderId="0" xfId="4" applyAlignment="1">
      <alignment horizontal="left" vertical="center" wrapText="1"/>
    </xf>
    <xf numFmtId="0" fontId="26" fillId="11" borderId="0" xfId="0" applyFont="1" applyFill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3" fontId="10" fillId="10" borderId="1" xfId="3" applyFont="1" applyFill="1" applyBorder="1" applyAlignment="1">
      <alignment horizontal="center" vertical="center" wrapText="1"/>
    </xf>
    <xf numFmtId="43" fontId="2" fillId="0" borderId="0" xfId="1" applyFont="1" applyAlignment="1">
      <alignment horizontal="center"/>
    </xf>
    <xf numFmtId="43" fontId="0" fillId="16" borderId="0" xfId="1" applyFont="1" applyFill="1"/>
    <xf numFmtId="43" fontId="30" fillId="0" borderId="0" xfId="1" applyFont="1"/>
    <xf numFmtId="167" fontId="0" fillId="0" borderId="0" xfId="2" applyNumberFormat="1" applyFont="1"/>
    <xf numFmtId="167" fontId="0" fillId="0" borderId="0" xfId="1" applyNumberFormat="1" applyFont="1"/>
    <xf numFmtId="9" fontId="0" fillId="0" borderId="0" xfId="2" applyFont="1"/>
    <xf numFmtId="43" fontId="0" fillId="5" borderId="0" xfId="1" applyFont="1" applyFill="1"/>
    <xf numFmtId="164" fontId="0" fillId="0" borderId="0" xfId="2" applyNumberFormat="1" applyFont="1"/>
    <xf numFmtId="164" fontId="0" fillId="0" borderId="0" xfId="1" applyNumberFormat="1" applyFont="1"/>
    <xf numFmtId="43" fontId="3" fillId="5" borderId="0" xfId="1" applyFont="1" applyFill="1"/>
    <xf numFmtId="43" fontId="0" fillId="0" borderId="0" xfId="1" applyFont="1" applyAlignment="1">
      <alignment horizontal="center"/>
    </xf>
    <xf numFmtId="43" fontId="0" fillId="0" borderId="2" xfId="1" applyFont="1" applyBorder="1"/>
    <xf numFmtId="43" fontId="0" fillId="0" borderId="4" xfId="1" applyFont="1" applyBorder="1"/>
    <xf numFmtId="43" fontId="0" fillId="0" borderId="5" xfId="1" applyFont="1" applyBorder="1"/>
    <xf numFmtId="43" fontId="0" fillId="0" borderId="7" xfId="1" applyFont="1" applyBorder="1"/>
    <xf numFmtId="43" fontId="5" fillId="0" borderId="2" xfId="1" applyFont="1" applyBorder="1"/>
    <xf numFmtId="43" fontId="5" fillId="0" borderId="4" xfId="1" applyFont="1" applyBorder="1"/>
    <xf numFmtId="43" fontId="5" fillId="0" borderId="5" xfId="1" applyFont="1" applyBorder="1"/>
    <xf numFmtId="43" fontId="5" fillId="0" borderId="7" xfId="1" applyFont="1" applyBorder="1"/>
    <xf numFmtId="43" fontId="3" fillId="0" borderId="2" xfId="1" applyFont="1" applyBorder="1"/>
    <xf numFmtId="43" fontId="3" fillId="0" borderId="5" xfId="1" applyFont="1" applyBorder="1"/>
    <xf numFmtId="43" fontId="0" fillId="0" borderId="0" xfId="1" applyFont="1" applyAlignment="1">
      <alignment horizontal="center"/>
    </xf>
    <xf numFmtId="0" fontId="31" fillId="0" borderId="12" xfId="0" applyFont="1" applyBorder="1" applyAlignment="1">
      <alignment horizontal="center" vertical="center" wrapText="1"/>
    </xf>
    <xf numFmtId="15" fontId="0" fillId="0" borderId="1" xfId="1" applyNumberFormat="1" applyFont="1" applyBorder="1"/>
    <xf numFmtId="9" fontId="0" fillId="0" borderId="1" xfId="1" applyNumberFormat="1" applyFont="1" applyBorder="1"/>
    <xf numFmtId="43" fontId="0" fillId="3" borderId="1" xfId="1" applyFont="1" applyFill="1" applyBorder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43" fontId="0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0" xfId="1" applyFont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43" fontId="9" fillId="0" borderId="1" xfId="3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4" fontId="18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3" fontId="5" fillId="0" borderId="4" xfId="1" applyFont="1" applyBorder="1" applyAlignment="1">
      <alignment horizontal="center" vertical="center"/>
    </xf>
    <xf numFmtId="43" fontId="5" fillId="0" borderId="7" xfId="1" applyFon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43" fontId="0" fillId="6" borderId="1" xfId="0" applyNumberFormat="1" applyFill="1" applyBorder="1" applyAlignment="1">
      <alignment horizontal="center" vertical="center" wrapText="1"/>
    </xf>
    <xf numFmtId="43" fontId="0" fillId="4" borderId="1" xfId="1" applyFont="1" applyFill="1" applyBorder="1" applyAlignment="1">
      <alignment horizontal="center" vertical="center"/>
    </xf>
    <xf numFmtId="43" fontId="0" fillId="4" borderId="1" xfId="1" applyFont="1" applyFill="1" applyBorder="1" applyAlignment="1">
      <alignment horizontal="center" vertical="center" wrapText="1"/>
    </xf>
    <xf numFmtId="43" fontId="0" fillId="17" borderId="1" xfId="1" applyFont="1" applyFill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0" fontId="0" fillId="0" borderId="0" xfId="1" quotePrefix="1" applyNumberFormat="1" applyFont="1" applyAlignment="1">
      <alignment horizontal="center"/>
    </xf>
    <xf numFmtId="15" fontId="0" fillId="0" borderId="0" xfId="1" applyNumberFormat="1" applyFont="1"/>
    <xf numFmtId="43" fontId="2" fillId="6" borderId="0" xfId="1" applyFont="1" applyFill="1"/>
    <xf numFmtId="43" fontId="2" fillId="0" borderId="1" xfId="1" applyFont="1" applyBorder="1"/>
    <xf numFmtId="43" fontId="2" fillId="4" borderId="1" xfId="1" applyFont="1" applyFill="1" applyBorder="1"/>
    <xf numFmtId="43" fontId="2" fillId="3" borderId="1" xfId="1" applyFont="1" applyFill="1" applyBorder="1"/>
    <xf numFmtId="43" fontId="0" fillId="0" borderId="0" xfId="1" applyFont="1" applyAlignment="1">
      <alignment wrapText="1"/>
    </xf>
    <xf numFmtId="43" fontId="30" fillId="0" borderId="0" xfId="1" applyFont="1" applyAlignment="1">
      <alignment horizontal="center"/>
    </xf>
    <xf numFmtId="43" fontId="3" fillId="0" borderId="0" xfId="1" applyFont="1" applyBorder="1" applyAlignment="1">
      <alignment horizontal="center"/>
    </xf>
    <xf numFmtId="43" fontId="3" fillId="0" borderId="1" xfId="1" applyFont="1" applyBorder="1" applyAlignment="1">
      <alignment horizontal="left"/>
    </xf>
    <xf numFmtId="43" fontId="3" fillId="0" borderId="13" xfId="1" applyFont="1" applyBorder="1" applyAlignment="1">
      <alignment horizontal="left"/>
    </xf>
    <xf numFmtId="43" fontId="3" fillId="0" borderId="14" xfId="1" applyFont="1" applyBorder="1" applyAlignment="1">
      <alignment horizontal="left"/>
    </xf>
    <xf numFmtId="43" fontId="3" fillId="0" borderId="15" xfId="1" applyFont="1" applyBorder="1" applyAlignment="1">
      <alignment horizontal="left"/>
    </xf>
  </cellXfs>
  <cellStyles count="5">
    <cellStyle name="Hipervínculo" xfId="4" builtinId="8"/>
    <cellStyle name="Millares" xfId="1" builtinId="3"/>
    <cellStyle name="Millares 2" xfId="3" xr:uid="{8B70E2E0-64CC-41C1-B0C8-1FD174687D2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hyperlink" Target="https://www.elcontribuyente.mx/2020/09/hay-vacios-legales-en-la-propuesta-de-ley-sobre-el-embargo-a-terceros-relacionados-con-efos-ccpm/" TargetMode="External"/><Relationship Id="rId7" Type="http://schemas.openxmlformats.org/officeDocument/2006/relationships/hyperlink" Target="https://www.elcontribuyente.mx/2020/09/ampliaran-la-responsabilidad-solidaria-en-escision-de-sociedades-y-establecimiento-permanente/" TargetMode="External"/><Relationship Id="rId12" Type="http://schemas.openxmlformats.org/officeDocument/2006/relationships/image" Target="../media/image8.jpeg"/><Relationship Id="rId2" Type="http://schemas.openxmlformats.org/officeDocument/2006/relationships/image" Target="../media/image3.png"/><Relationship Id="rId1" Type="http://schemas.openxmlformats.org/officeDocument/2006/relationships/hyperlink" Target="https://www.viralize.com/" TargetMode="External"/><Relationship Id="rId6" Type="http://schemas.openxmlformats.org/officeDocument/2006/relationships/image" Target="../media/image5.jpeg"/><Relationship Id="rId11" Type="http://schemas.openxmlformats.org/officeDocument/2006/relationships/hyperlink" Target="https://www.elcontribuyente.mx/2020/09/donatarias-autorizadas-estaran-hiper-vigiladas-en-2021/" TargetMode="External"/><Relationship Id="rId5" Type="http://schemas.openxmlformats.org/officeDocument/2006/relationships/hyperlink" Target="https://www.elcontribuyente.mx/2020/09/cambio-a-regla-fiscal-antiabuso-iguala-procedimientos-penales-y-administrativos-especialistas/" TargetMode="External"/><Relationship Id="rId10" Type="http://schemas.openxmlformats.org/officeDocument/2006/relationships/image" Target="../media/image7.jpeg"/><Relationship Id="rId4" Type="http://schemas.openxmlformats.org/officeDocument/2006/relationships/image" Target="../media/image4.jpeg"/><Relationship Id="rId9" Type="http://schemas.openxmlformats.org/officeDocument/2006/relationships/hyperlink" Target="https://www.elcontribuyente.mx/2020/09/uso-de-camaras-para-visitas-domiciliarias-debera-ser-regulado-especialistas/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546</xdr:row>
          <xdr:rowOff>0</xdr:rowOff>
        </xdr:from>
        <xdr:to>
          <xdr:col>7</xdr:col>
          <xdr:colOff>152400</xdr:colOff>
          <xdr:row>547</xdr:row>
          <xdr:rowOff>44450</xdr:rowOff>
        </xdr:to>
        <xdr:sp macro="" textlink="">
          <xdr:nvSpPr>
            <xdr:cNvPr id="11274" name="Control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B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547</xdr:row>
          <xdr:rowOff>0</xdr:rowOff>
        </xdr:from>
        <xdr:to>
          <xdr:col>6</xdr:col>
          <xdr:colOff>666750</xdr:colOff>
          <xdr:row>548</xdr:row>
          <xdr:rowOff>63500</xdr:rowOff>
        </xdr:to>
        <xdr:sp macro="" textlink="">
          <xdr:nvSpPr>
            <xdr:cNvPr id="11275" name="Control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B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549</xdr:row>
      <xdr:rowOff>0</xdr:rowOff>
    </xdr:from>
    <xdr:to>
      <xdr:col>7</xdr:col>
      <xdr:colOff>464820</xdr:colOff>
      <xdr:row>551</xdr:row>
      <xdr:rowOff>0</xdr:rowOff>
    </xdr:to>
    <xdr:pic>
      <xdr:nvPicPr>
        <xdr:cNvPr id="13" name="vr-a4amu59sm9g-disclaimer-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6340" y="164348160"/>
          <a:ext cx="1257300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568</xdr:row>
      <xdr:rowOff>0</xdr:rowOff>
    </xdr:from>
    <xdr:to>
      <xdr:col>7</xdr:col>
      <xdr:colOff>640080</xdr:colOff>
      <xdr:row>572</xdr:row>
      <xdr:rowOff>144780</xdr:rowOff>
    </xdr:to>
    <xdr:pic>
      <xdr:nvPicPr>
        <xdr:cNvPr id="14" name="Imagen 13" descr="embargo-tercero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6340" y="180502560"/>
          <a:ext cx="143256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576</xdr:row>
      <xdr:rowOff>0</xdr:rowOff>
    </xdr:from>
    <xdr:to>
      <xdr:col>7</xdr:col>
      <xdr:colOff>640080</xdr:colOff>
      <xdr:row>580</xdr:row>
      <xdr:rowOff>144780</xdr:rowOff>
    </xdr:to>
    <xdr:pic>
      <xdr:nvPicPr>
        <xdr:cNvPr id="15" name="Imagen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6340" y="183428640"/>
          <a:ext cx="143256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583</xdr:row>
      <xdr:rowOff>0</xdr:rowOff>
    </xdr:from>
    <xdr:to>
      <xdr:col>7</xdr:col>
      <xdr:colOff>640080</xdr:colOff>
      <xdr:row>587</xdr:row>
      <xdr:rowOff>60960</xdr:rowOff>
    </xdr:to>
    <xdr:pic>
      <xdr:nvPicPr>
        <xdr:cNvPr id="16" name="Imagen 15" descr="Programa Integral de Autocorrección Fiscal (PIAF), ¿qué es?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6340" y="186171840"/>
          <a:ext cx="1432560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590</xdr:row>
      <xdr:rowOff>0</xdr:rowOff>
    </xdr:from>
    <xdr:to>
      <xdr:col>7</xdr:col>
      <xdr:colOff>640080</xdr:colOff>
      <xdr:row>594</xdr:row>
      <xdr:rowOff>60960</xdr:rowOff>
    </xdr:to>
    <xdr:pic>
      <xdr:nvPicPr>
        <xdr:cNvPr id="17" name="Imagen 16" descr="cámaras-celulares-visitas-domiciliarias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6340" y="188915040"/>
          <a:ext cx="1432560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597</xdr:row>
      <xdr:rowOff>0</xdr:rowOff>
    </xdr:from>
    <xdr:to>
      <xdr:col>7</xdr:col>
      <xdr:colOff>640080</xdr:colOff>
      <xdr:row>601</xdr:row>
      <xdr:rowOff>60960</xdr:rowOff>
    </xdr:to>
    <xdr:pic>
      <xdr:nvPicPr>
        <xdr:cNvPr id="18" name="Imagen 17" descr="donatarias-autorizadas-autorización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6340" y="191292480"/>
          <a:ext cx="1432560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304800</xdr:colOff>
      <xdr:row>606</xdr:row>
      <xdr:rowOff>121920</xdr:rowOff>
    </xdr:to>
    <xdr:sp macro="" textlink="">
      <xdr:nvSpPr>
        <xdr:cNvPr id="11282" name="AutoShape 18" descr="Logo de Negocios">
          <a:extLst>
            <a:ext uri="{FF2B5EF4-FFF2-40B4-BE49-F238E27FC236}">
              <a16:creationId xmlns:a16="http://schemas.microsoft.com/office/drawing/2014/main" id="{00000000-0008-0000-0B00-0000122C0000}"/>
            </a:ext>
          </a:extLst>
        </xdr:cNvPr>
        <xdr:cNvSpPr>
          <a:spLocks noChangeAspect="1" noChangeArrowheads="1"/>
        </xdr:cNvSpPr>
      </xdr:nvSpPr>
      <xdr:spPr bwMode="auto">
        <a:xfrm>
          <a:off x="5006340" y="193669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.%20Jaime%20Flores/Dropbox%20(Personal)/Dropbox/CAPACITACI&#211;N/2020/Cierre%20fiscal,%20financiero%20y%20laboral%20del%20ejercicio%20COVID/Casos%20practicos%20de%20cier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INPC"/>
      <sheetName val="Conciliación"/>
      <sheetName val="Fórmula C"/>
      <sheetName val="PÉRDIDAS"/>
      <sheetName val="UFIN"/>
      <sheetName val="CUCA"/>
      <sheetName val="dEDUCCIÓN"/>
      <sheetName val="Hoja1"/>
      <sheetName val="VACACIONES"/>
      <sheetName val="FINIQUITO"/>
      <sheetName val="liquidacion"/>
      <sheetName val="Hoja6"/>
      <sheetName val="ANUAL"/>
      <sheetName val="Hoja8"/>
    </sheetNames>
    <sheetDataSet>
      <sheetData sheetId="0"/>
      <sheetData sheetId="1"/>
      <sheetData sheetId="2"/>
      <sheetData sheetId="3">
        <row r="16">
          <cell r="B16">
            <v>123.22</v>
          </cell>
        </row>
      </sheetData>
      <sheetData sheetId="4"/>
      <sheetData sheetId="5"/>
      <sheetData sheetId="6"/>
      <sheetData sheetId="7">
        <row r="65">
          <cell r="B65">
            <v>43830</v>
          </cell>
        </row>
      </sheetData>
      <sheetData sheetId="8"/>
      <sheetData sheetId="9"/>
      <sheetData sheetId="10">
        <row r="6">
          <cell r="E6">
            <v>0.4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E4484-817F-43AA-BF28-858BE2127F9F}">
  <dimension ref="B3:C5"/>
  <sheetViews>
    <sheetView zoomScale="130" zoomScaleNormal="130" workbookViewId="0">
      <selection activeCell="C5" sqref="C5"/>
    </sheetView>
  </sheetViews>
  <sheetFormatPr baseColWidth="10" defaultRowHeight="14.5"/>
  <cols>
    <col min="2" max="2" width="28.81640625" bestFit="1" customWidth="1"/>
  </cols>
  <sheetData>
    <row r="3" spans="2:3">
      <c r="B3" s="1" t="s">
        <v>18</v>
      </c>
      <c r="C3" s="5">
        <v>141.69999999999999</v>
      </c>
    </row>
    <row r="4" spans="2:3">
      <c r="B4" s="1" t="s">
        <v>19</v>
      </c>
      <c r="C4" s="5">
        <v>213.59</v>
      </c>
    </row>
    <row r="5" spans="2:3">
      <c r="B5" s="1" t="s">
        <v>20</v>
      </c>
      <c r="C5" s="5">
        <v>89.62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94227-EC62-43AB-AF64-9F93EFC73EDE}">
  <dimension ref="B2:G54"/>
  <sheetViews>
    <sheetView topLeftCell="A30" zoomScale="180" zoomScaleNormal="180" workbookViewId="0">
      <selection activeCell="A40" sqref="A40"/>
    </sheetView>
  </sheetViews>
  <sheetFormatPr baseColWidth="10" defaultColWidth="11.54296875" defaultRowHeight="14.5"/>
  <cols>
    <col min="1" max="1" width="8" style="7" customWidth="1"/>
    <col min="2" max="2" width="15.36328125" style="7" bestFit="1" customWidth="1"/>
    <col min="3" max="5" width="11.54296875" style="7"/>
    <col min="6" max="6" width="42.08984375" style="7" bestFit="1" customWidth="1"/>
    <col min="7" max="7" width="30.81640625" style="7" bestFit="1" customWidth="1"/>
    <col min="8" max="16384" width="11.54296875" style="7"/>
  </cols>
  <sheetData>
    <row r="2" spans="2:6">
      <c r="B2" s="7" t="s">
        <v>6</v>
      </c>
      <c r="C2" s="7">
        <v>300</v>
      </c>
      <c r="D2" s="7">
        <f>+C2/6</f>
        <v>50</v>
      </c>
      <c r="E2" s="7">
        <v>1</v>
      </c>
      <c r="F2" s="142" t="s">
        <v>50</v>
      </c>
    </row>
    <row r="3" spans="2:6">
      <c r="B3" s="7" t="s">
        <v>11</v>
      </c>
      <c r="C3" s="7">
        <v>300</v>
      </c>
      <c r="D3" s="7">
        <f t="shared" ref="D3:D7" si="0">+C3/6</f>
        <v>50</v>
      </c>
      <c r="E3" s="7">
        <v>1</v>
      </c>
      <c r="F3" s="142"/>
    </row>
    <row r="4" spans="2:6">
      <c r="B4" s="7" t="s">
        <v>12</v>
      </c>
      <c r="C4" s="7">
        <v>300</v>
      </c>
      <c r="D4" s="7">
        <f t="shared" si="0"/>
        <v>50</v>
      </c>
      <c r="E4" s="7">
        <v>1</v>
      </c>
      <c r="F4" s="142"/>
    </row>
    <row r="5" spans="2:6">
      <c r="B5" s="7" t="s">
        <v>13</v>
      </c>
      <c r="C5" s="7">
        <v>300</v>
      </c>
      <c r="D5" s="7">
        <f t="shared" si="0"/>
        <v>50</v>
      </c>
      <c r="E5" s="7">
        <v>1</v>
      </c>
      <c r="F5" s="142"/>
    </row>
    <row r="6" spans="2:6">
      <c r="B6" s="7" t="s">
        <v>14</v>
      </c>
      <c r="C6" s="7">
        <v>300</v>
      </c>
      <c r="D6" s="7">
        <f t="shared" si="0"/>
        <v>50</v>
      </c>
      <c r="E6" s="7">
        <v>1</v>
      </c>
      <c r="F6" s="142"/>
    </row>
    <row r="7" spans="2:6">
      <c r="B7" s="7" t="s">
        <v>15</v>
      </c>
      <c r="C7" s="7">
        <v>300</v>
      </c>
      <c r="D7" s="7">
        <f t="shared" si="0"/>
        <v>50</v>
      </c>
    </row>
    <row r="8" spans="2:6">
      <c r="B8" s="7" t="s">
        <v>16</v>
      </c>
      <c r="D8" s="7">
        <f>SUM(D2:D7)</f>
        <v>300</v>
      </c>
      <c r="E8" s="7">
        <v>8</v>
      </c>
      <c r="F8" s="7" t="s">
        <v>51</v>
      </c>
    </row>
    <row r="9" spans="2:6">
      <c r="B9" s="10" t="s">
        <v>26</v>
      </c>
      <c r="C9" s="10">
        <f>SUM(C2:C8)</f>
        <v>1800</v>
      </c>
      <c r="D9" s="10">
        <f>+D8</f>
        <v>300</v>
      </c>
      <c r="E9" s="7">
        <f>+D9+C9</f>
        <v>2100</v>
      </c>
    </row>
    <row r="10" spans="2:6">
      <c r="B10" s="19" t="s">
        <v>39</v>
      </c>
      <c r="C10" s="19"/>
      <c r="D10" s="19"/>
      <c r="E10" s="7">
        <v>600</v>
      </c>
      <c r="F10" s="7" t="s">
        <v>52</v>
      </c>
    </row>
    <row r="11" spans="2:6">
      <c r="B11" s="19" t="s">
        <v>53</v>
      </c>
      <c r="C11" s="19"/>
      <c r="D11" s="19"/>
      <c r="E11" s="7">
        <f>+D8*25%</f>
        <v>75</v>
      </c>
    </row>
    <row r="12" spans="2:6">
      <c r="B12" s="19"/>
      <c r="C12" s="19"/>
      <c r="D12" s="19"/>
      <c r="E12" s="7">
        <f>+E9+E10+E11</f>
        <v>2775</v>
      </c>
    </row>
    <row r="13" spans="2:6">
      <c r="B13" s="19" t="s">
        <v>54</v>
      </c>
      <c r="C13" s="19">
        <f>+C7/8*2</f>
        <v>75</v>
      </c>
      <c r="D13" s="19">
        <v>5</v>
      </c>
      <c r="E13" s="7">
        <f>+D13*C13</f>
        <v>375</v>
      </c>
    </row>
    <row r="14" spans="2:6">
      <c r="B14" s="7" t="s">
        <v>55</v>
      </c>
      <c r="E14" s="7">
        <f>+E13+E12</f>
        <v>3150</v>
      </c>
    </row>
    <row r="16" spans="2:6">
      <c r="B16" s="7" t="s">
        <v>6</v>
      </c>
      <c r="C16" s="7">
        <v>0</v>
      </c>
      <c r="D16" s="7">
        <f>+C16/5*2</f>
        <v>0</v>
      </c>
    </row>
    <row r="17" spans="2:7">
      <c r="B17" s="7" t="s">
        <v>11</v>
      </c>
      <c r="C17" s="7">
        <v>300</v>
      </c>
      <c r="D17" s="7">
        <f t="shared" ref="D17:D22" si="1">+C17/5*2</f>
        <v>120</v>
      </c>
    </row>
    <row r="18" spans="2:7">
      <c r="B18" s="7" t="s">
        <v>12</v>
      </c>
      <c r="C18" s="7">
        <v>300</v>
      </c>
      <c r="D18" s="7">
        <f t="shared" si="1"/>
        <v>120</v>
      </c>
    </row>
    <row r="19" spans="2:7">
      <c r="B19" s="7" t="s">
        <v>13</v>
      </c>
      <c r="C19" s="7">
        <v>300</v>
      </c>
      <c r="D19" s="7">
        <f t="shared" si="1"/>
        <v>120</v>
      </c>
    </row>
    <row r="20" spans="2:7">
      <c r="B20" s="7" t="s">
        <v>14</v>
      </c>
      <c r="C20" s="7">
        <v>300</v>
      </c>
      <c r="D20" s="7">
        <f t="shared" si="1"/>
        <v>120</v>
      </c>
    </row>
    <row r="21" spans="2:7">
      <c r="B21" s="7" t="s">
        <v>15</v>
      </c>
      <c r="C21" s="7">
        <v>0</v>
      </c>
      <c r="D21" s="7">
        <f t="shared" si="1"/>
        <v>0</v>
      </c>
    </row>
    <row r="22" spans="2:7">
      <c r="B22" s="7" t="s">
        <v>16</v>
      </c>
      <c r="D22" s="7">
        <f t="shared" si="1"/>
        <v>0</v>
      </c>
    </row>
    <row r="23" spans="2:7">
      <c r="B23" s="10" t="s">
        <v>26</v>
      </c>
      <c r="C23" s="10">
        <f>SUM(C16:C22)</f>
        <v>1200</v>
      </c>
      <c r="D23" s="10">
        <f>SUM(D16:D22)</f>
        <v>480</v>
      </c>
      <c r="E23" s="7">
        <f>+D23+C23</f>
        <v>1680</v>
      </c>
    </row>
    <row r="25" spans="2:7">
      <c r="F25" s="14" t="s">
        <v>28</v>
      </c>
      <c r="G25" s="14" t="s">
        <v>29</v>
      </c>
    </row>
    <row r="26" spans="2:7">
      <c r="F26" s="13" t="s">
        <v>27</v>
      </c>
      <c r="G26" s="18" t="s">
        <v>30</v>
      </c>
    </row>
    <row r="27" spans="2:7" ht="43.5">
      <c r="F27" s="16" t="s">
        <v>31</v>
      </c>
      <c r="G27" s="15" t="s">
        <v>32</v>
      </c>
    </row>
    <row r="28" spans="2:7" ht="58">
      <c r="F28" s="16" t="s">
        <v>33</v>
      </c>
      <c r="G28" s="15" t="s">
        <v>34</v>
      </c>
    </row>
    <row r="29" spans="2:7">
      <c r="C29" s="12" t="s">
        <v>35</v>
      </c>
      <c r="D29" s="7" t="s">
        <v>35</v>
      </c>
    </row>
    <row r="30" spans="2:7">
      <c r="B30" s="7" t="s">
        <v>6</v>
      </c>
      <c r="C30" s="7">
        <v>3</v>
      </c>
      <c r="D30" s="7">
        <v>5</v>
      </c>
      <c r="E30" s="11" t="s">
        <v>43</v>
      </c>
    </row>
    <row r="31" spans="2:7">
      <c r="B31" s="7" t="s">
        <v>11</v>
      </c>
      <c r="C31" s="7">
        <v>3</v>
      </c>
      <c r="D31" s="7">
        <v>4</v>
      </c>
      <c r="E31" s="11" t="s">
        <v>44</v>
      </c>
    </row>
    <row r="32" spans="2:7">
      <c r="B32" s="7" t="s">
        <v>12</v>
      </c>
      <c r="C32" s="7">
        <v>3</v>
      </c>
      <c r="D32" s="17"/>
    </row>
    <row r="33" spans="2:5">
      <c r="B33" s="7" t="s">
        <v>13</v>
      </c>
      <c r="C33" s="17"/>
      <c r="D33" s="17"/>
    </row>
    <row r="34" spans="2:5">
      <c r="B34" s="7" t="s">
        <v>14</v>
      </c>
      <c r="C34" s="17"/>
      <c r="D34" s="17"/>
    </row>
    <row r="35" spans="2:5">
      <c r="B35" s="7" t="s">
        <v>15</v>
      </c>
      <c r="C35" s="17"/>
      <c r="D35" s="17"/>
    </row>
    <row r="36" spans="2:5">
      <c r="B36" s="7" t="s">
        <v>16</v>
      </c>
      <c r="C36" s="17"/>
      <c r="D36" s="17"/>
    </row>
    <row r="37" spans="2:5">
      <c r="B37" s="7" t="s">
        <v>36</v>
      </c>
      <c r="C37" s="7">
        <v>400</v>
      </c>
      <c r="D37" s="7">
        <v>400</v>
      </c>
    </row>
    <row r="38" spans="2:5">
      <c r="B38" s="7" t="s">
        <v>37</v>
      </c>
      <c r="C38" s="7">
        <f>SUM(C30:C32)</f>
        <v>9</v>
      </c>
      <c r="D38" s="7">
        <f>SUM(D30:D32)</f>
        <v>9</v>
      </c>
    </row>
    <row r="39" spans="2:5">
      <c r="B39" s="7" t="s">
        <v>38</v>
      </c>
      <c r="C39" s="7">
        <f>+C37/8</f>
        <v>50</v>
      </c>
      <c r="D39" s="7">
        <f>+D37/8</f>
        <v>50</v>
      </c>
    </row>
    <row r="40" spans="2:5">
      <c r="B40" s="7" t="s">
        <v>39</v>
      </c>
      <c r="C40" s="7">
        <f>+C39*2</f>
        <v>100</v>
      </c>
      <c r="D40" s="7">
        <f>+D39*2</f>
        <v>100</v>
      </c>
    </row>
    <row r="41" spans="2:5">
      <c r="B41" s="7" t="s">
        <v>40</v>
      </c>
      <c r="C41" s="7">
        <f>+C39*3</f>
        <v>150</v>
      </c>
      <c r="D41" s="7">
        <f>+D39*3</f>
        <v>150</v>
      </c>
    </row>
    <row r="42" spans="2:5">
      <c r="B42" s="7" t="s">
        <v>41</v>
      </c>
      <c r="C42" s="7">
        <f>+C40*C38</f>
        <v>900</v>
      </c>
    </row>
    <row r="43" spans="2:5">
      <c r="B43" s="7" t="s">
        <v>42</v>
      </c>
      <c r="D43" s="7">
        <v>3</v>
      </c>
    </row>
    <row r="46" spans="2:5">
      <c r="B46" s="7" t="s">
        <v>45</v>
      </c>
      <c r="C46" s="7">
        <v>1</v>
      </c>
      <c r="D46" s="7" t="s">
        <v>47</v>
      </c>
      <c r="E46" s="7" t="s">
        <v>49</v>
      </c>
    </row>
    <row r="47" spans="2:5">
      <c r="B47" s="7" t="s">
        <v>45</v>
      </c>
      <c r="C47" s="7">
        <v>2</v>
      </c>
      <c r="D47" s="7" t="s">
        <v>47</v>
      </c>
      <c r="E47" s="7" t="s">
        <v>49</v>
      </c>
    </row>
    <row r="48" spans="2:5">
      <c r="B48" s="7" t="s">
        <v>45</v>
      </c>
      <c r="C48" s="7">
        <v>3</v>
      </c>
      <c r="D48" s="7" t="s">
        <v>47</v>
      </c>
      <c r="E48" s="7" t="s">
        <v>49</v>
      </c>
    </row>
    <row r="49" spans="2:5">
      <c r="B49" s="7" t="s">
        <v>45</v>
      </c>
      <c r="C49" s="7">
        <v>4</v>
      </c>
      <c r="D49" s="9" t="s">
        <v>48</v>
      </c>
      <c r="E49" s="7" t="s">
        <v>49</v>
      </c>
    </row>
    <row r="50" spans="2:5">
      <c r="B50" s="7" t="s">
        <v>45</v>
      </c>
      <c r="C50" s="7">
        <v>5</v>
      </c>
      <c r="D50" s="9" t="s">
        <v>48</v>
      </c>
      <c r="E50" s="7" t="s">
        <v>49</v>
      </c>
    </row>
    <row r="51" spans="2:5">
      <c r="B51" s="7" t="s">
        <v>46</v>
      </c>
      <c r="C51" s="7">
        <v>6</v>
      </c>
      <c r="D51" s="7" t="s">
        <v>47</v>
      </c>
      <c r="E51" s="7" t="s">
        <v>49</v>
      </c>
    </row>
    <row r="52" spans="2:5">
      <c r="B52" s="7" t="s">
        <v>46</v>
      </c>
      <c r="C52" s="7">
        <v>7</v>
      </c>
      <c r="D52" s="7" t="s">
        <v>47</v>
      </c>
      <c r="E52" s="7" t="s">
        <v>49</v>
      </c>
    </row>
    <row r="53" spans="2:5">
      <c r="B53" s="7" t="s">
        <v>46</v>
      </c>
      <c r="C53" s="7">
        <v>8</v>
      </c>
      <c r="D53" s="7" t="s">
        <v>47</v>
      </c>
      <c r="E53" s="7" t="s">
        <v>49</v>
      </c>
    </row>
    <row r="54" spans="2:5">
      <c r="B54" s="7" t="s">
        <v>46</v>
      </c>
      <c r="C54" s="7">
        <v>9</v>
      </c>
      <c r="D54" s="9" t="s">
        <v>48</v>
      </c>
      <c r="E54" s="7" t="s">
        <v>49</v>
      </c>
    </row>
  </sheetData>
  <mergeCells count="1">
    <mergeCell ref="F2:F6"/>
  </mergeCells>
  <phoneticPr fontId="4" type="noConversion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592AA-E801-4857-B76C-B0B34D214A0A}">
  <dimension ref="B2:AA29"/>
  <sheetViews>
    <sheetView tabSelected="1" zoomScale="80" zoomScaleNormal="80" workbookViewId="0">
      <selection activeCell="D12" sqref="D12"/>
    </sheetView>
  </sheetViews>
  <sheetFormatPr baseColWidth="10" defaultRowHeight="14.5"/>
  <cols>
    <col min="1" max="1" width="3.453125" customWidth="1"/>
    <col min="2" max="2" width="5.54296875" customWidth="1"/>
    <col min="3" max="3" width="10" customWidth="1"/>
    <col min="4" max="4" width="10.36328125" customWidth="1"/>
    <col min="5" max="5" width="10.08984375" customWidth="1"/>
    <col min="7" max="7" width="9.6328125" customWidth="1"/>
    <col min="8" max="8" width="9.36328125" customWidth="1"/>
    <col min="9" max="9" width="8.6328125" customWidth="1"/>
    <col min="10" max="10" width="9.453125" customWidth="1"/>
    <col min="11" max="11" width="9.6328125" customWidth="1"/>
    <col min="12" max="12" width="8.90625" customWidth="1"/>
    <col min="14" max="15" width="9.54296875" customWidth="1"/>
    <col min="16" max="16" width="9.90625" customWidth="1"/>
    <col min="17" max="17" width="9.36328125" customWidth="1"/>
    <col min="18" max="18" width="9" customWidth="1"/>
    <col min="19" max="19" width="9.453125" customWidth="1"/>
    <col min="20" max="20" width="9.08984375" customWidth="1"/>
    <col min="21" max="21" width="10.08984375" customWidth="1"/>
    <col min="22" max="22" width="9.08984375" customWidth="1"/>
    <col min="23" max="24" width="9.54296875" bestFit="1" customWidth="1"/>
  </cols>
  <sheetData>
    <row r="2" spans="2:27">
      <c r="B2" s="144" t="s">
        <v>67</v>
      </c>
      <c r="C2" s="144"/>
      <c r="D2" s="144"/>
      <c r="E2" s="144"/>
      <c r="F2" s="1">
        <f>+SMG</f>
        <v>141.69999999999999</v>
      </c>
      <c r="H2" t="s">
        <v>192</v>
      </c>
    </row>
    <row r="3" spans="2:27">
      <c r="B3" s="144" t="s">
        <v>68</v>
      </c>
      <c r="C3" s="144"/>
      <c r="D3" s="144"/>
      <c r="E3" s="144"/>
      <c r="F3" s="1">
        <f>+UMA</f>
        <v>89.62</v>
      </c>
      <c r="H3" t="s">
        <v>193</v>
      </c>
    </row>
    <row r="4" spans="2:27">
      <c r="B4" s="144" t="s">
        <v>69</v>
      </c>
      <c r="C4" s="144"/>
      <c r="D4" s="144"/>
      <c r="E4" s="144"/>
      <c r="F4" s="1">
        <f>+F3*3</f>
        <v>268.86</v>
      </c>
    </row>
    <row r="6" spans="2:27">
      <c r="B6" s="145" t="s">
        <v>70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7"/>
    </row>
    <row r="7" spans="2:27">
      <c r="B7" s="148" t="s">
        <v>71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50"/>
    </row>
    <row r="8" spans="2:27" s="22" customFormat="1" ht="10.5">
      <c r="B8" s="151" t="s">
        <v>72</v>
      </c>
      <c r="C8" s="151" t="s">
        <v>73</v>
      </c>
      <c r="D8" s="151" t="s">
        <v>74</v>
      </c>
      <c r="E8" s="151" t="s">
        <v>75</v>
      </c>
      <c r="F8" s="151" t="s">
        <v>76</v>
      </c>
      <c r="G8" s="153" t="s">
        <v>77</v>
      </c>
      <c r="H8" s="153"/>
      <c r="I8" s="153"/>
      <c r="J8" s="153"/>
      <c r="K8" s="153"/>
      <c r="L8" s="153"/>
      <c r="M8" s="153"/>
      <c r="N8" s="153"/>
      <c r="O8" s="153"/>
      <c r="P8" s="151" t="s">
        <v>78</v>
      </c>
      <c r="Q8" s="151"/>
      <c r="R8" s="151" t="s">
        <v>79</v>
      </c>
      <c r="S8" s="151" t="s">
        <v>80</v>
      </c>
      <c r="T8" s="151" t="s">
        <v>81</v>
      </c>
      <c r="U8" s="151"/>
      <c r="V8" s="151" t="s">
        <v>82</v>
      </c>
      <c r="W8" s="151" t="s">
        <v>83</v>
      </c>
      <c r="X8" s="151"/>
      <c r="Y8" s="151" t="s">
        <v>84</v>
      </c>
      <c r="Z8" s="151" t="s">
        <v>83</v>
      </c>
      <c r="AA8" s="151"/>
    </row>
    <row r="9" spans="2:27" s="22" customFormat="1" ht="10.5">
      <c r="B9" s="143"/>
      <c r="C9" s="143"/>
      <c r="D9" s="143"/>
      <c r="E9" s="143"/>
      <c r="F9" s="143"/>
      <c r="G9" s="23" t="s">
        <v>85</v>
      </c>
      <c r="H9" s="152" t="s">
        <v>86</v>
      </c>
      <c r="I9" s="152"/>
      <c r="J9" s="152" t="s">
        <v>87</v>
      </c>
      <c r="K9" s="152"/>
      <c r="L9" s="152" t="s">
        <v>88</v>
      </c>
      <c r="M9" s="152"/>
      <c r="N9" s="152" t="s">
        <v>83</v>
      </c>
      <c r="O9" s="152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</row>
    <row r="10" spans="2:27" s="22" customFormat="1" ht="10.5">
      <c r="B10" s="143"/>
      <c r="C10" s="143"/>
      <c r="D10" s="143"/>
      <c r="E10" s="143"/>
      <c r="F10" s="143"/>
      <c r="G10" s="23" t="s">
        <v>89</v>
      </c>
      <c r="H10" s="23" t="s">
        <v>89</v>
      </c>
      <c r="I10" s="23" t="s">
        <v>90</v>
      </c>
      <c r="J10" s="23" t="s">
        <v>89</v>
      </c>
      <c r="K10" s="23" t="s">
        <v>90</v>
      </c>
      <c r="L10" s="23" t="s">
        <v>89</v>
      </c>
      <c r="M10" s="23" t="s">
        <v>90</v>
      </c>
      <c r="N10" s="143" t="s">
        <v>89</v>
      </c>
      <c r="O10" s="143" t="s">
        <v>90</v>
      </c>
      <c r="P10" s="23" t="s">
        <v>91</v>
      </c>
      <c r="Q10" s="23" t="s">
        <v>90</v>
      </c>
      <c r="R10" s="23" t="s">
        <v>89</v>
      </c>
      <c r="S10" s="23" t="s">
        <v>89</v>
      </c>
      <c r="T10" s="23" t="s">
        <v>92</v>
      </c>
      <c r="U10" s="23" t="s">
        <v>90</v>
      </c>
      <c r="V10" s="23" t="s">
        <v>89</v>
      </c>
      <c r="W10" s="143" t="s">
        <v>89</v>
      </c>
      <c r="X10" s="143" t="s">
        <v>90</v>
      </c>
      <c r="Y10" s="23" t="s">
        <v>89</v>
      </c>
      <c r="Z10" s="143" t="s">
        <v>89</v>
      </c>
      <c r="AA10" s="143" t="s">
        <v>90</v>
      </c>
    </row>
    <row r="11" spans="2:27" s="26" customFormat="1" ht="10.5">
      <c r="B11" s="143"/>
      <c r="C11" s="143"/>
      <c r="D11" s="143"/>
      <c r="E11" s="143"/>
      <c r="F11" s="143"/>
      <c r="G11" s="24">
        <v>0.20399999999999999</v>
      </c>
      <c r="H11" s="24">
        <v>1.0999999999999999E-2</v>
      </c>
      <c r="I11" s="24">
        <v>4.0000000000000001E-3</v>
      </c>
      <c r="J11" s="24">
        <v>7.0000000000000001E-3</v>
      </c>
      <c r="K11" s="24">
        <v>2.5000000000000001E-3</v>
      </c>
      <c r="L11" s="24">
        <v>1.0500000000000001E-2</v>
      </c>
      <c r="M11" s="24">
        <v>3.7499999999999999E-3</v>
      </c>
      <c r="N11" s="143"/>
      <c r="O11" s="143"/>
      <c r="P11" s="24">
        <v>1.7500000000000002E-2</v>
      </c>
      <c r="Q11" s="24">
        <v>7.4999999999999997E-3</v>
      </c>
      <c r="R11" s="24">
        <v>0.01</v>
      </c>
      <c r="S11" s="24">
        <v>0.02</v>
      </c>
      <c r="T11" s="24">
        <v>3.15E-2</v>
      </c>
      <c r="U11" s="24">
        <v>1.125E-2</v>
      </c>
      <c r="V11" s="24">
        <v>5.0000000000000001E-3</v>
      </c>
      <c r="W11" s="143"/>
      <c r="X11" s="143"/>
      <c r="Y11" s="25">
        <v>0.05</v>
      </c>
      <c r="Z11" s="143"/>
      <c r="AA11" s="143"/>
    </row>
    <row r="12" spans="2:27">
      <c r="B12" s="3">
        <v>1</v>
      </c>
      <c r="C12" s="27">
        <f>+Vacaciones!L29</f>
        <v>333.33333333333331</v>
      </c>
      <c r="D12" s="5">
        <f ca="1">+Vacaciones!Q29</f>
        <v>350.6849315068493</v>
      </c>
      <c r="E12" s="3">
        <v>31</v>
      </c>
      <c r="F12" s="27">
        <f ca="1">+E12*D12</f>
        <v>10871.232876712329</v>
      </c>
      <c r="G12" s="5">
        <f>+$G$11*$E12*$F$2</f>
        <v>896.11079999999993</v>
      </c>
      <c r="H12" s="5">
        <f ca="1">IF(D12&gt;$F$4,(F12-$F$4*$E12)*$H$11,0)</f>
        <v>27.902301643835621</v>
      </c>
      <c r="I12" s="5">
        <f ca="1">IF(D12&gt;$F$4,(F12-$F$4*$E12)*$I$11,0)</f>
        <v>10.146291506849316</v>
      </c>
      <c r="J12" s="27">
        <f ca="1">+J$11*$F12</f>
        <v>76.098630136986301</v>
      </c>
      <c r="K12" s="27">
        <f t="shared" ref="K12:M12" ca="1" si="0">+K$11*$F12</f>
        <v>27.178082191780824</v>
      </c>
      <c r="L12" s="27">
        <f t="shared" ca="1" si="0"/>
        <v>114.14794520547946</v>
      </c>
      <c r="M12" s="27">
        <f t="shared" ca="1" si="0"/>
        <v>40.767123287671232</v>
      </c>
      <c r="N12" s="27">
        <f ca="1">+G12+H12+J12+L12</f>
        <v>1114.2596769863012</v>
      </c>
      <c r="O12" s="27">
        <f ca="1">+I12+K12+M12</f>
        <v>78.091496986301365</v>
      </c>
      <c r="P12" s="27">
        <f t="shared" ref="P12:V16" ca="1" si="1">+P$11*$F12</f>
        <v>190.24657534246577</v>
      </c>
      <c r="Q12" s="27">
        <f t="shared" ca="1" si="1"/>
        <v>81.534246575342465</v>
      </c>
      <c r="R12" s="27">
        <f t="shared" ca="1" si="1"/>
        <v>108.7123287671233</v>
      </c>
      <c r="S12" s="71">
        <f t="shared" ca="1" si="1"/>
        <v>217.42465753424659</v>
      </c>
      <c r="T12" s="27">
        <f t="shared" ca="1" si="1"/>
        <v>342.44383561643838</v>
      </c>
      <c r="U12" s="27">
        <f t="shared" ca="1" si="1"/>
        <v>122.30136986301369</v>
      </c>
      <c r="V12" s="27">
        <f t="shared" ca="1" si="1"/>
        <v>54.356164383561648</v>
      </c>
      <c r="W12" s="27">
        <f ca="1">+N12+P12+R12+S12+T12+V12</f>
        <v>2027.4432386301371</v>
      </c>
      <c r="X12" s="27">
        <f ca="1">+O12+Q12+U12</f>
        <v>281.92711342465753</v>
      </c>
      <c r="Y12" s="27">
        <f t="shared" ref="Y12:Y16" ca="1" si="2">+Y$11*$F12</f>
        <v>543.56164383561645</v>
      </c>
      <c r="Z12" s="27">
        <f ca="1">+W12+Y12</f>
        <v>2571.0048824657533</v>
      </c>
      <c r="AA12" s="27">
        <f ca="1">+X12</f>
        <v>281.92711342465753</v>
      </c>
    </row>
    <row r="13" spans="2:27">
      <c r="B13" s="3">
        <v>2</v>
      </c>
      <c r="C13" s="27">
        <f>+Vacaciones!L30</f>
        <v>266.66666666666669</v>
      </c>
      <c r="D13" s="5">
        <f ca="1">+Vacaciones!Q30</f>
        <v>280.1826484018265</v>
      </c>
      <c r="E13" s="3">
        <v>31</v>
      </c>
      <c r="F13" s="27">
        <f t="shared" ref="F13:F19" ca="1" si="3">+E13*D13</f>
        <v>8685.6621004566223</v>
      </c>
      <c r="G13" s="5">
        <f t="shared" ref="G13:G16" si="4">+$G$11*$E13*$F$2</f>
        <v>896.11079999999993</v>
      </c>
      <c r="H13" s="5">
        <f t="shared" ref="H13:H16" ca="1" si="5">IF(D13&gt;$F$4,(F13-$F$4*$E13)*$H$11,0)</f>
        <v>3.8610231050228463</v>
      </c>
      <c r="I13" s="5">
        <f t="shared" ref="I13:I19" ca="1" si="6">IF(D13&gt;$F$4,(F13-$F$4*$E13)*$I$11,0)</f>
        <v>1.4040084018264898</v>
      </c>
      <c r="J13" s="27">
        <f t="shared" ref="J13:M19" ca="1" si="7">+J$11*$F13</f>
        <v>60.799634703196354</v>
      </c>
      <c r="K13" s="27">
        <f t="shared" ca="1" si="7"/>
        <v>21.714155251141555</v>
      </c>
      <c r="L13" s="27">
        <f t="shared" ca="1" si="7"/>
        <v>91.199452054794534</v>
      </c>
      <c r="M13" s="27">
        <f t="shared" ca="1" si="7"/>
        <v>32.57123287671233</v>
      </c>
      <c r="N13" s="27">
        <f t="shared" ref="N13:N19" ca="1" si="8">+G13+H13+J13+L13</f>
        <v>1051.9709098630137</v>
      </c>
      <c r="O13" s="27">
        <f t="shared" ref="O13:O19" ca="1" si="9">+I13+K13+M13</f>
        <v>55.68939652968038</v>
      </c>
      <c r="P13" s="27">
        <f t="shared" ca="1" si="1"/>
        <v>151.99908675799091</v>
      </c>
      <c r="Q13" s="27">
        <f t="shared" ca="1" si="1"/>
        <v>65.142465753424659</v>
      </c>
      <c r="R13" s="27">
        <f t="shared" ca="1" si="1"/>
        <v>86.856621004566222</v>
      </c>
      <c r="S13" s="71">
        <f t="shared" ca="1" si="1"/>
        <v>173.71324200913244</v>
      </c>
      <c r="T13" s="27">
        <f t="shared" ca="1" si="1"/>
        <v>273.59835616438363</v>
      </c>
      <c r="U13" s="27">
        <f t="shared" ca="1" si="1"/>
        <v>97.713698630137003</v>
      </c>
      <c r="V13" s="27">
        <f t="shared" ca="1" si="1"/>
        <v>43.428310502283111</v>
      </c>
      <c r="W13" s="27">
        <f t="shared" ref="W13:W19" ca="1" si="10">+N13+P13+R13+S13+T13+V13</f>
        <v>1781.56652630137</v>
      </c>
      <c r="X13" s="27">
        <f t="shared" ref="X13:X19" ca="1" si="11">+O13+Q13+U13</f>
        <v>218.54556091324204</v>
      </c>
      <c r="Y13" s="27">
        <f t="shared" ca="1" si="2"/>
        <v>434.28310502283114</v>
      </c>
      <c r="Z13" s="27">
        <f t="shared" ref="Z13:Z19" ca="1" si="12">+W13+Y13</f>
        <v>2215.8496313242013</v>
      </c>
      <c r="AA13" s="27">
        <f t="shared" ref="AA13:AA19" ca="1" si="13">+X13</f>
        <v>218.54556091324204</v>
      </c>
    </row>
    <row r="14" spans="2:27">
      <c r="B14" s="3">
        <v>3</v>
      </c>
      <c r="C14" s="27">
        <f>+Vacaciones!L31</f>
        <v>300</v>
      </c>
      <c r="D14" s="5">
        <f ca="1">+Vacaciones!Q31</f>
        <v>314.79452054794518</v>
      </c>
      <c r="E14" s="3">
        <v>31</v>
      </c>
      <c r="F14" s="27">
        <f t="shared" ca="1" si="3"/>
        <v>9758.6301369863013</v>
      </c>
      <c r="G14" s="5">
        <f t="shared" si="4"/>
        <v>896.11079999999993</v>
      </c>
      <c r="H14" s="5">
        <f t="shared" ca="1" si="5"/>
        <v>15.663671506849315</v>
      </c>
      <c r="I14" s="5">
        <f t="shared" ca="1" si="6"/>
        <v>5.6958805479452055</v>
      </c>
      <c r="J14" s="27">
        <f t="shared" ca="1" si="7"/>
        <v>68.310410958904114</v>
      </c>
      <c r="K14" s="27">
        <f t="shared" ca="1" si="7"/>
        <v>24.396575342465752</v>
      </c>
      <c r="L14" s="27">
        <f t="shared" ca="1" si="7"/>
        <v>102.46561643835616</v>
      </c>
      <c r="M14" s="27">
        <f t="shared" ca="1" si="7"/>
        <v>36.594863013698628</v>
      </c>
      <c r="N14" s="27">
        <f t="shared" ca="1" si="8"/>
        <v>1082.5504989041096</v>
      </c>
      <c r="O14" s="27">
        <f t="shared" ca="1" si="9"/>
        <v>66.687318904109588</v>
      </c>
      <c r="P14" s="27">
        <f t="shared" ca="1" si="1"/>
        <v>170.77602739726029</v>
      </c>
      <c r="Q14" s="27">
        <f t="shared" ca="1" si="1"/>
        <v>73.189726027397256</v>
      </c>
      <c r="R14" s="27">
        <f t="shared" ca="1" si="1"/>
        <v>97.586301369863008</v>
      </c>
      <c r="S14" s="71">
        <f t="shared" ca="1" si="1"/>
        <v>195.17260273972602</v>
      </c>
      <c r="T14" s="27">
        <f t="shared" ca="1" si="1"/>
        <v>307.39684931506849</v>
      </c>
      <c r="U14" s="27">
        <f t="shared" ca="1" si="1"/>
        <v>109.78458904109588</v>
      </c>
      <c r="V14" s="27">
        <f t="shared" ca="1" si="1"/>
        <v>48.793150684931504</v>
      </c>
      <c r="W14" s="27">
        <f t="shared" ca="1" si="10"/>
        <v>1902.2754304109592</v>
      </c>
      <c r="X14" s="27">
        <f t="shared" ca="1" si="11"/>
        <v>249.66163397260271</v>
      </c>
      <c r="Y14" s="27">
        <f t="shared" ca="1" si="2"/>
        <v>487.9315068493151</v>
      </c>
      <c r="Z14" s="27">
        <f t="shared" ca="1" si="12"/>
        <v>2390.2069372602741</v>
      </c>
      <c r="AA14" s="27">
        <f t="shared" ca="1" si="13"/>
        <v>249.66163397260271</v>
      </c>
    </row>
    <row r="15" spans="2:27">
      <c r="B15" s="3">
        <v>4</v>
      </c>
      <c r="C15" s="27">
        <f>+Vacaciones!L32</f>
        <v>400</v>
      </c>
      <c r="D15" s="5">
        <f ca="1">+Vacaciones!Q32</f>
        <v>419.17808219178085</v>
      </c>
      <c r="E15" s="3">
        <v>31</v>
      </c>
      <c r="F15" s="27">
        <f t="shared" ca="1" si="3"/>
        <v>12994.520547945207</v>
      </c>
      <c r="G15" s="5">
        <f t="shared" si="4"/>
        <v>896.11079999999993</v>
      </c>
      <c r="H15" s="5">
        <f t="shared" ca="1" si="5"/>
        <v>51.258466027397276</v>
      </c>
      <c r="I15" s="5">
        <f t="shared" ca="1" si="6"/>
        <v>18.63944219178083</v>
      </c>
      <c r="J15" s="27">
        <f t="shared" ca="1" si="7"/>
        <v>90.961643835616456</v>
      </c>
      <c r="K15" s="27">
        <f t="shared" ca="1" si="7"/>
        <v>32.486301369863021</v>
      </c>
      <c r="L15" s="27">
        <f t="shared" ca="1" si="7"/>
        <v>136.44246575342467</v>
      </c>
      <c r="M15" s="27">
        <f t="shared" ca="1" si="7"/>
        <v>48.729452054794521</v>
      </c>
      <c r="N15" s="27">
        <f t="shared" ca="1" si="8"/>
        <v>1174.7733756164382</v>
      </c>
      <c r="O15" s="27">
        <f t="shared" ca="1" si="9"/>
        <v>99.85519561643838</v>
      </c>
      <c r="P15" s="27">
        <f t="shared" ca="1" si="1"/>
        <v>227.40410958904116</v>
      </c>
      <c r="Q15" s="27">
        <f t="shared" ca="1" si="1"/>
        <v>97.458904109589042</v>
      </c>
      <c r="R15" s="27">
        <f t="shared" ca="1" si="1"/>
        <v>129.94520547945208</v>
      </c>
      <c r="S15" s="71">
        <f t="shared" ca="1" si="1"/>
        <v>259.89041095890417</v>
      </c>
      <c r="T15" s="27">
        <f t="shared" ca="1" si="1"/>
        <v>409.32739726027404</v>
      </c>
      <c r="U15" s="27">
        <f t="shared" ca="1" si="1"/>
        <v>146.18835616438358</v>
      </c>
      <c r="V15" s="27">
        <f t="shared" ca="1" si="1"/>
        <v>64.972602739726042</v>
      </c>
      <c r="W15" s="27">
        <f t="shared" ca="1" si="10"/>
        <v>2266.3131016438356</v>
      </c>
      <c r="X15" s="27">
        <f t="shared" ca="1" si="11"/>
        <v>343.502455890411</v>
      </c>
      <c r="Y15" s="27">
        <f t="shared" ca="1" si="2"/>
        <v>649.7260273972604</v>
      </c>
      <c r="Z15" s="27">
        <f t="shared" ca="1" si="12"/>
        <v>2916.0391290410962</v>
      </c>
      <c r="AA15" s="27">
        <f t="shared" ca="1" si="13"/>
        <v>343.502455890411</v>
      </c>
    </row>
    <row r="16" spans="2:27">
      <c r="B16" s="3">
        <v>5</v>
      </c>
      <c r="C16" s="27">
        <v>240</v>
      </c>
      <c r="D16" s="5">
        <f>+C16*1.0452</f>
        <v>250.84799999999998</v>
      </c>
      <c r="E16" s="3">
        <v>31</v>
      </c>
      <c r="F16" s="27">
        <f t="shared" ref="F16" si="14">+E16*D16</f>
        <v>7776.2879999999996</v>
      </c>
      <c r="G16" s="5">
        <f t="shared" si="4"/>
        <v>896.11079999999993</v>
      </c>
      <c r="H16" s="5">
        <f t="shared" si="5"/>
        <v>0</v>
      </c>
      <c r="I16" s="5">
        <f t="shared" si="6"/>
        <v>0</v>
      </c>
      <c r="J16" s="27">
        <f t="shared" si="7"/>
        <v>54.434016</v>
      </c>
      <c r="K16" s="27">
        <f t="shared" si="7"/>
        <v>19.440719999999999</v>
      </c>
      <c r="L16" s="27">
        <f t="shared" si="7"/>
        <v>81.651024000000007</v>
      </c>
      <c r="M16" s="27">
        <f t="shared" si="7"/>
        <v>29.161079999999998</v>
      </c>
      <c r="N16" s="27">
        <f t="shared" si="8"/>
        <v>1032.1958399999999</v>
      </c>
      <c r="O16" s="27">
        <f t="shared" si="9"/>
        <v>48.601799999999997</v>
      </c>
      <c r="P16" s="27">
        <f t="shared" si="1"/>
        <v>136.08503999999999</v>
      </c>
      <c r="Q16" s="27">
        <f t="shared" si="1"/>
        <v>58.322159999999997</v>
      </c>
      <c r="R16" s="27">
        <f t="shared" si="1"/>
        <v>77.762879999999996</v>
      </c>
      <c r="S16" s="71">
        <f t="shared" si="1"/>
        <v>155.52575999999999</v>
      </c>
      <c r="T16" s="27">
        <f t="shared" si="1"/>
        <v>244.95307199999999</v>
      </c>
      <c r="U16" s="27">
        <f t="shared" si="1"/>
        <v>87.483239999999995</v>
      </c>
      <c r="V16" s="27">
        <f t="shared" si="1"/>
        <v>38.881439999999998</v>
      </c>
      <c r="W16" s="27">
        <f t="shared" si="10"/>
        <v>1685.4040319999999</v>
      </c>
      <c r="X16" s="27">
        <f t="shared" si="11"/>
        <v>194.40719999999999</v>
      </c>
      <c r="Y16" s="27">
        <f t="shared" si="2"/>
        <v>388.81439999999998</v>
      </c>
      <c r="Z16" s="27">
        <f t="shared" si="12"/>
        <v>2074.2184319999997</v>
      </c>
      <c r="AA16" s="27">
        <f t="shared" si="13"/>
        <v>194.40719999999999</v>
      </c>
    </row>
    <row r="17" spans="2:27">
      <c r="B17" s="3">
        <v>6</v>
      </c>
      <c r="C17" s="5"/>
      <c r="D17" s="5"/>
      <c r="E17" s="3"/>
      <c r="F17" s="27">
        <f t="shared" si="3"/>
        <v>0</v>
      </c>
      <c r="G17" s="5"/>
      <c r="H17" s="5"/>
      <c r="I17" s="5">
        <f t="shared" si="6"/>
        <v>0</v>
      </c>
      <c r="J17" s="27">
        <f t="shared" si="7"/>
        <v>0</v>
      </c>
      <c r="K17" s="27">
        <f t="shared" si="7"/>
        <v>0</v>
      </c>
      <c r="L17" s="27">
        <f t="shared" si="7"/>
        <v>0</v>
      </c>
      <c r="M17" s="27">
        <f t="shared" si="7"/>
        <v>0</v>
      </c>
      <c r="N17" s="27">
        <f t="shared" si="8"/>
        <v>0</v>
      </c>
      <c r="O17" s="27">
        <f t="shared" si="9"/>
        <v>0</v>
      </c>
      <c r="P17" s="27"/>
      <c r="Q17" s="27"/>
      <c r="R17" s="27"/>
      <c r="S17" s="27"/>
      <c r="T17" s="27"/>
      <c r="U17" s="27"/>
      <c r="V17" s="27"/>
      <c r="W17" s="27">
        <f t="shared" si="10"/>
        <v>0</v>
      </c>
      <c r="X17" s="27">
        <f t="shared" si="11"/>
        <v>0</v>
      </c>
      <c r="Y17" s="27"/>
      <c r="Z17" s="27">
        <f t="shared" si="12"/>
        <v>0</v>
      </c>
      <c r="AA17" s="27">
        <f t="shared" si="13"/>
        <v>0</v>
      </c>
    </row>
    <row r="18" spans="2:27">
      <c r="B18" s="3">
        <v>7</v>
      </c>
      <c r="C18" s="5"/>
      <c r="D18" s="5"/>
      <c r="E18" s="3"/>
      <c r="F18" s="27">
        <f t="shared" si="3"/>
        <v>0</v>
      </c>
      <c r="G18" s="5"/>
      <c r="H18" s="5"/>
      <c r="I18" s="5">
        <f t="shared" si="6"/>
        <v>0</v>
      </c>
      <c r="J18" s="27">
        <f t="shared" si="7"/>
        <v>0</v>
      </c>
      <c r="K18" s="27">
        <f t="shared" si="7"/>
        <v>0</v>
      </c>
      <c r="L18" s="27">
        <f t="shared" si="7"/>
        <v>0</v>
      </c>
      <c r="M18" s="27">
        <f t="shared" si="7"/>
        <v>0</v>
      </c>
      <c r="N18" s="27">
        <f t="shared" si="8"/>
        <v>0</v>
      </c>
      <c r="O18" s="27">
        <f t="shared" si="9"/>
        <v>0</v>
      </c>
      <c r="P18" s="27"/>
      <c r="Q18" s="27"/>
      <c r="R18" s="27"/>
      <c r="S18" s="27"/>
      <c r="T18" s="27"/>
      <c r="U18" s="27"/>
      <c r="V18" s="27"/>
      <c r="W18" s="27">
        <f t="shared" si="10"/>
        <v>0</v>
      </c>
      <c r="X18" s="27">
        <f t="shared" si="11"/>
        <v>0</v>
      </c>
      <c r="Y18" s="27"/>
      <c r="Z18" s="27">
        <f t="shared" si="12"/>
        <v>0</v>
      </c>
      <c r="AA18" s="27">
        <f t="shared" si="13"/>
        <v>0</v>
      </c>
    </row>
    <row r="19" spans="2:27">
      <c r="B19" s="3">
        <v>8</v>
      </c>
      <c r="C19" s="5"/>
      <c r="D19" s="5"/>
      <c r="E19" s="3"/>
      <c r="F19" s="27">
        <f t="shared" si="3"/>
        <v>0</v>
      </c>
      <c r="G19" s="5"/>
      <c r="H19" s="5"/>
      <c r="I19" s="5">
        <f t="shared" si="6"/>
        <v>0</v>
      </c>
      <c r="J19" s="27">
        <f t="shared" si="7"/>
        <v>0</v>
      </c>
      <c r="K19" s="27">
        <f t="shared" si="7"/>
        <v>0</v>
      </c>
      <c r="L19" s="27">
        <f t="shared" si="7"/>
        <v>0</v>
      </c>
      <c r="M19" s="27">
        <f t="shared" si="7"/>
        <v>0</v>
      </c>
      <c r="N19" s="27">
        <f t="shared" si="8"/>
        <v>0</v>
      </c>
      <c r="O19" s="27">
        <f t="shared" si="9"/>
        <v>0</v>
      </c>
      <c r="P19" s="27"/>
      <c r="Q19" s="27"/>
      <c r="R19" s="27"/>
      <c r="S19" s="27"/>
      <c r="T19" s="27"/>
      <c r="U19" s="27"/>
      <c r="V19" s="27"/>
      <c r="W19" s="27">
        <f t="shared" si="10"/>
        <v>0</v>
      </c>
      <c r="X19" s="27">
        <f t="shared" si="11"/>
        <v>0</v>
      </c>
      <c r="Y19" s="27"/>
      <c r="Z19" s="27">
        <f t="shared" si="12"/>
        <v>0</v>
      </c>
      <c r="AA19" s="27">
        <f t="shared" si="13"/>
        <v>0</v>
      </c>
    </row>
    <row r="21" spans="2:27">
      <c r="B21" s="28">
        <v>1</v>
      </c>
      <c r="C21">
        <v>2</v>
      </c>
      <c r="D21" s="28">
        <v>3</v>
      </c>
      <c r="E21">
        <v>4</v>
      </c>
      <c r="F21" s="28">
        <v>5</v>
      </c>
      <c r="G21">
        <v>6</v>
      </c>
      <c r="H21" s="28">
        <v>7</v>
      </c>
      <c r="I21">
        <v>8</v>
      </c>
      <c r="J21" s="28">
        <v>9</v>
      </c>
      <c r="K21">
        <v>10</v>
      </c>
      <c r="L21" s="28">
        <v>11</v>
      </c>
      <c r="M21">
        <v>12</v>
      </c>
      <c r="N21" s="28">
        <v>13</v>
      </c>
      <c r="O21">
        <v>14</v>
      </c>
      <c r="P21" s="28">
        <v>15</v>
      </c>
      <c r="Q21">
        <v>16</v>
      </c>
      <c r="R21" s="28">
        <v>17</v>
      </c>
      <c r="S21">
        <v>18</v>
      </c>
      <c r="T21" s="28">
        <v>19</v>
      </c>
      <c r="U21">
        <v>20</v>
      </c>
      <c r="V21" s="28">
        <v>21</v>
      </c>
      <c r="W21">
        <v>22</v>
      </c>
      <c r="X21" s="28">
        <v>23</v>
      </c>
      <c r="Y21">
        <v>24</v>
      </c>
      <c r="Z21" s="28">
        <v>25</v>
      </c>
      <c r="AA21">
        <v>26</v>
      </c>
    </row>
    <row r="23" spans="2:27">
      <c r="F23" t="s">
        <v>194</v>
      </c>
      <c r="G23" s="47">
        <f ca="1">+D12</f>
        <v>350.6849315068493</v>
      </c>
    </row>
    <row r="24" spans="2:27">
      <c r="F24" t="s">
        <v>69</v>
      </c>
      <c r="G24">
        <f>+F4</f>
        <v>268.86</v>
      </c>
    </row>
    <row r="25" spans="2:27">
      <c r="F25" t="s">
        <v>195</v>
      </c>
      <c r="G25" s="47">
        <f ca="1">+G23-G24</f>
        <v>81.824931506849282</v>
      </c>
    </row>
    <row r="26" spans="2:27">
      <c r="F26" t="s">
        <v>3</v>
      </c>
      <c r="G26">
        <v>31</v>
      </c>
    </row>
    <row r="27" spans="2:27">
      <c r="F27" t="s">
        <v>196</v>
      </c>
      <c r="G27" s="47">
        <f ca="1">+G26*G25</f>
        <v>2536.5728767123278</v>
      </c>
    </row>
    <row r="28" spans="2:27">
      <c r="F28" t="s">
        <v>197</v>
      </c>
      <c r="G28" s="70">
        <f>+H11</f>
        <v>1.0999999999999999E-2</v>
      </c>
    </row>
    <row r="29" spans="2:27">
      <c r="F29" t="s">
        <v>198</v>
      </c>
      <c r="G29" s="47">
        <f ca="1">+G28*G27</f>
        <v>27.902301643835603</v>
      </c>
    </row>
  </sheetData>
  <mergeCells count="29">
    <mergeCell ref="W10:W11"/>
    <mergeCell ref="X10:X11"/>
    <mergeCell ref="Z10:Z11"/>
    <mergeCell ref="AA10:AA11"/>
    <mergeCell ref="W8:X9"/>
    <mergeCell ref="Y8:Y9"/>
    <mergeCell ref="Z8:AA9"/>
    <mergeCell ref="V8:V9"/>
    <mergeCell ref="H9:I9"/>
    <mergeCell ref="J9:K9"/>
    <mergeCell ref="L9:M9"/>
    <mergeCell ref="N9:O9"/>
    <mergeCell ref="G8:O8"/>
    <mergeCell ref="N10:N11"/>
    <mergeCell ref="O10:O11"/>
    <mergeCell ref="B2:E2"/>
    <mergeCell ref="B3:E3"/>
    <mergeCell ref="B4:E4"/>
    <mergeCell ref="B6:AA6"/>
    <mergeCell ref="B7:AA7"/>
    <mergeCell ref="B8:B11"/>
    <mergeCell ref="C8:C11"/>
    <mergeCell ref="D8:D11"/>
    <mergeCell ref="E8:E11"/>
    <mergeCell ref="F8:F11"/>
    <mergeCell ref="P8:Q9"/>
    <mergeCell ref="R8:R9"/>
    <mergeCell ref="S8:S9"/>
    <mergeCell ref="T8:U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07169-BCE5-4BED-99A3-963F13A6B017}">
  <sheetPr codeName="Hoja1"/>
  <dimension ref="B2:L610"/>
  <sheetViews>
    <sheetView topLeftCell="A28" workbookViewId="0">
      <selection activeCell="B32" sqref="B32:E42"/>
    </sheetView>
  </sheetViews>
  <sheetFormatPr baseColWidth="10" defaultRowHeight="14.5"/>
  <cols>
    <col min="2" max="4" width="12.81640625" bestFit="1" customWidth="1"/>
  </cols>
  <sheetData>
    <row r="2" spans="2:12">
      <c r="B2" s="154" t="s">
        <v>199</v>
      </c>
      <c r="C2" s="154"/>
      <c r="D2" s="154"/>
      <c r="E2" s="154"/>
      <c r="G2" s="154" t="s">
        <v>211</v>
      </c>
      <c r="H2" s="154"/>
      <c r="I2" s="154"/>
      <c r="J2" s="154"/>
    </row>
    <row r="3" spans="2:12" ht="50">
      <c r="B3" s="73" t="s">
        <v>200</v>
      </c>
      <c r="C3" s="73" t="s">
        <v>201</v>
      </c>
      <c r="D3" s="73" t="s">
        <v>202</v>
      </c>
      <c r="E3" s="73" t="s">
        <v>210</v>
      </c>
      <c r="G3" s="109" t="s">
        <v>200</v>
      </c>
      <c r="H3" s="109" t="s">
        <v>201</v>
      </c>
      <c r="I3" s="109" t="s">
        <v>202</v>
      </c>
      <c r="J3" s="73" t="s">
        <v>210</v>
      </c>
    </row>
    <row r="4" spans="2:12">
      <c r="B4" s="74">
        <v>0.01</v>
      </c>
      <c r="C4" s="74">
        <v>644.58000000000004</v>
      </c>
      <c r="D4" s="74">
        <v>0</v>
      </c>
      <c r="E4" s="75">
        <v>1.9199999999999998E-2</v>
      </c>
      <c r="G4" s="74">
        <v>0.01</v>
      </c>
      <c r="H4" s="76">
        <f t="shared" ref="H4:H13" si="0">+C4/30.4*15</f>
        <v>318.04934210526318</v>
      </c>
      <c r="I4" s="76">
        <f t="shared" ref="I4:I14" si="1">+D4/30.4*15</f>
        <v>0</v>
      </c>
      <c r="J4" s="75">
        <v>1.9199999999999998E-2</v>
      </c>
      <c r="L4" s="7"/>
    </row>
    <row r="5" spans="2:12">
      <c r="B5" s="76">
        <v>644.59</v>
      </c>
      <c r="C5" s="76">
        <v>5470.92</v>
      </c>
      <c r="D5" s="76">
        <v>12.38</v>
      </c>
      <c r="E5" s="77">
        <v>6.4000000000000001E-2</v>
      </c>
      <c r="G5" s="76">
        <f>+B5/30.4*15</f>
        <v>318.05427631578954</v>
      </c>
      <c r="H5" s="76">
        <f t="shared" si="0"/>
        <v>2699.4671052631579</v>
      </c>
      <c r="I5" s="76">
        <f t="shared" si="1"/>
        <v>6.1085526315789487</v>
      </c>
      <c r="J5" s="77">
        <v>6.4000000000000001E-2</v>
      </c>
      <c r="L5" s="7"/>
    </row>
    <row r="6" spans="2:12">
      <c r="B6" s="74">
        <v>5470.93</v>
      </c>
      <c r="C6" s="74">
        <v>9614.66</v>
      </c>
      <c r="D6" s="74">
        <v>321.26</v>
      </c>
      <c r="E6" s="75">
        <v>0.10880000000000001</v>
      </c>
      <c r="G6" s="76">
        <f t="shared" ref="G6:G14" si="2">+B6/30.4*15</f>
        <v>2699.4720394736846</v>
      </c>
      <c r="H6" s="76">
        <f t="shared" si="0"/>
        <v>4744.0756578947376</v>
      </c>
      <c r="I6" s="76">
        <f t="shared" si="1"/>
        <v>158.51644736842104</v>
      </c>
      <c r="J6" s="75">
        <v>0.10880000000000001</v>
      </c>
      <c r="L6" s="7"/>
    </row>
    <row r="7" spans="2:12">
      <c r="B7" s="76">
        <v>9614.67</v>
      </c>
      <c r="C7" s="76">
        <v>11176.62</v>
      </c>
      <c r="D7" s="76">
        <v>772.1</v>
      </c>
      <c r="E7" s="77">
        <v>0.16</v>
      </c>
      <c r="G7" s="76">
        <f t="shared" si="2"/>
        <v>4744.0805921052633</v>
      </c>
      <c r="H7" s="76">
        <f t="shared" si="0"/>
        <v>5514.7796052631584</v>
      </c>
      <c r="I7" s="76">
        <f t="shared" si="1"/>
        <v>380.97039473684214</v>
      </c>
      <c r="J7" s="77">
        <v>0.16</v>
      </c>
      <c r="L7" s="7"/>
    </row>
    <row r="8" spans="2:12">
      <c r="B8" s="74">
        <v>11176.63</v>
      </c>
      <c r="C8" s="74">
        <v>13381.47</v>
      </c>
      <c r="D8" s="74">
        <v>1022.01</v>
      </c>
      <c r="E8" s="75">
        <v>0.17920000000000003</v>
      </c>
      <c r="G8" s="76">
        <f t="shared" si="2"/>
        <v>5514.7845394736842</v>
      </c>
      <c r="H8" s="76">
        <f t="shared" si="0"/>
        <v>6602.699013157895</v>
      </c>
      <c r="I8" s="76">
        <f t="shared" si="1"/>
        <v>504.28125</v>
      </c>
      <c r="J8" s="75">
        <v>0.17920000000000003</v>
      </c>
      <c r="L8" s="7"/>
    </row>
    <row r="9" spans="2:12">
      <c r="B9" s="76">
        <v>13381.48</v>
      </c>
      <c r="C9" s="76">
        <v>26988.5</v>
      </c>
      <c r="D9" s="76">
        <v>1417.12</v>
      </c>
      <c r="E9" s="77">
        <v>0.21359999999999998</v>
      </c>
      <c r="G9" s="76">
        <f t="shared" si="2"/>
        <v>6602.7039473684208</v>
      </c>
      <c r="H9" s="76">
        <f t="shared" si="0"/>
        <v>13316.694078947368</v>
      </c>
      <c r="I9" s="76">
        <f t="shared" si="1"/>
        <v>699.23684210526312</v>
      </c>
      <c r="J9" s="77">
        <v>0.21359999999999998</v>
      </c>
      <c r="L9" s="7"/>
    </row>
    <row r="10" spans="2:12">
      <c r="B10" s="74">
        <v>26988.51</v>
      </c>
      <c r="C10" s="74">
        <v>42537.58</v>
      </c>
      <c r="D10" s="74">
        <v>4323.58</v>
      </c>
      <c r="E10" s="75">
        <v>0.23519999999999999</v>
      </c>
      <c r="G10" s="76">
        <f t="shared" si="2"/>
        <v>13316.699013157895</v>
      </c>
      <c r="H10" s="76">
        <f t="shared" si="0"/>
        <v>20988.9375</v>
      </c>
      <c r="I10" s="76">
        <f t="shared" si="1"/>
        <v>2133.3453947368421</v>
      </c>
      <c r="J10" s="75">
        <v>0.23519999999999999</v>
      </c>
      <c r="L10" s="7"/>
    </row>
    <row r="11" spans="2:12">
      <c r="B11" s="76">
        <v>42537.59</v>
      </c>
      <c r="C11" s="76">
        <v>81211.25</v>
      </c>
      <c r="D11" s="76">
        <v>7980.73</v>
      </c>
      <c r="E11" s="77">
        <v>0.3</v>
      </c>
      <c r="G11" s="76">
        <f t="shared" si="2"/>
        <v>20988.942434210527</v>
      </c>
      <c r="H11" s="76">
        <f t="shared" si="0"/>
        <v>40071.34046052632</v>
      </c>
      <c r="I11" s="76">
        <f t="shared" si="1"/>
        <v>3937.8601973684208</v>
      </c>
      <c r="J11" s="77">
        <v>0.3</v>
      </c>
      <c r="L11" s="7"/>
    </row>
    <row r="12" spans="2:12">
      <c r="B12" s="74">
        <v>81211.259999999995</v>
      </c>
      <c r="C12" s="74">
        <v>108281.67</v>
      </c>
      <c r="D12" s="74">
        <v>19582.830000000002</v>
      </c>
      <c r="E12" s="75">
        <v>0.32</v>
      </c>
      <c r="G12" s="76">
        <f t="shared" si="2"/>
        <v>40071.34539473684</v>
      </c>
      <c r="H12" s="76">
        <f t="shared" si="0"/>
        <v>53428.455592105267</v>
      </c>
      <c r="I12" s="76">
        <f t="shared" si="1"/>
        <v>9662.5805921052652</v>
      </c>
      <c r="J12" s="75">
        <v>0.32</v>
      </c>
      <c r="L12" s="7"/>
    </row>
    <row r="13" spans="2:12">
      <c r="B13" s="76">
        <v>108281.68</v>
      </c>
      <c r="C13" s="76">
        <v>324845.01</v>
      </c>
      <c r="D13" s="76">
        <v>28245.360000000001</v>
      </c>
      <c r="E13" s="77">
        <v>0.34</v>
      </c>
      <c r="G13" s="76">
        <f t="shared" si="2"/>
        <v>53428.460526315794</v>
      </c>
      <c r="H13" s="76">
        <f t="shared" si="0"/>
        <v>160285.36677631579</v>
      </c>
      <c r="I13" s="76">
        <f t="shared" si="1"/>
        <v>13936.855263157895</v>
      </c>
      <c r="J13" s="77">
        <v>0.34</v>
      </c>
      <c r="L13" s="7"/>
    </row>
    <row r="14" spans="2:12">
      <c r="B14" s="74">
        <v>324845.02</v>
      </c>
      <c r="C14" s="74" t="s">
        <v>203</v>
      </c>
      <c r="D14" s="74">
        <v>101876.9</v>
      </c>
      <c r="E14" s="75">
        <v>0.35</v>
      </c>
      <c r="G14" s="76">
        <f t="shared" si="2"/>
        <v>160285.37171052635</v>
      </c>
      <c r="H14" s="74" t="s">
        <v>203</v>
      </c>
      <c r="I14" s="76">
        <f t="shared" si="1"/>
        <v>50268.207236842107</v>
      </c>
      <c r="J14" s="75">
        <v>0.35</v>
      </c>
      <c r="L14" s="7"/>
    </row>
    <row r="15" spans="2:12">
      <c r="G15" s="88"/>
    </row>
    <row r="16" spans="2:12" ht="27.65" customHeight="1">
      <c r="B16" s="156" t="s">
        <v>205</v>
      </c>
      <c r="C16" s="157"/>
      <c r="D16" s="158"/>
      <c r="G16" s="156" t="s">
        <v>212</v>
      </c>
      <c r="H16" s="157"/>
      <c r="I16" s="158"/>
    </row>
    <row r="17" spans="2:12" ht="40">
      <c r="B17" s="83" t="s">
        <v>206</v>
      </c>
      <c r="C17" s="83" t="s">
        <v>207</v>
      </c>
      <c r="D17" s="83" t="s">
        <v>208</v>
      </c>
      <c r="G17" s="83" t="s">
        <v>206</v>
      </c>
      <c r="H17" s="83" t="s">
        <v>207</v>
      </c>
      <c r="I17" s="83" t="s">
        <v>208</v>
      </c>
    </row>
    <row r="18" spans="2:12">
      <c r="B18" s="84">
        <v>0.01</v>
      </c>
      <c r="C18" s="84">
        <v>1768.96</v>
      </c>
      <c r="D18" s="84">
        <v>407.02</v>
      </c>
      <c r="G18" s="84">
        <v>0.01</v>
      </c>
      <c r="H18" s="76">
        <f t="shared" ref="G18:H28" si="3">+C18/30.4*15</f>
        <v>872.84210526315803</v>
      </c>
      <c r="I18" s="84">
        <v>200.85</v>
      </c>
    </row>
    <row r="19" spans="2:12">
      <c r="B19" s="85">
        <v>1768.97</v>
      </c>
      <c r="C19" s="85">
        <v>2653.38</v>
      </c>
      <c r="D19" s="85">
        <v>406.83</v>
      </c>
      <c r="G19" s="76">
        <f t="shared" si="3"/>
        <v>872.84703947368428</v>
      </c>
      <c r="H19" s="76">
        <f t="shared" si="3"/>
        <v>1309.2335526315792</v>
      </c>
      <c r="I19" s="85">
        <v>200.7</v>
      </c>
    </row>
    <row r="20" spans="2:12">
      <c r="B20" s="84">
        <v>2653.39</v>
      </c>
      <c r="C20" s="84">
        <v>3472.84</v>
      </c>
      <c r="D20" s="84">
        <v>406.62</v>
      </c>
      <c r="G20" s="76">
        <f t="shared" si="3"/>
        <v>1309.2384868421052</v>
      </c>
      <c r="H20" s="76">
        <f t="shared" si="3"/>
        <v>1713.5723684210529</v>
      </c>
      <c r="I20" s="84">
        <v>200.7</v>
      </c>
    </row>
    <row r="21" spans="2:12">
      <c r="B21" s="85">
        <v>3472.85</v>
      </c>
      <c r="C21" s="85">
        <v>3537.87</v>
      </c>
      <c r="D21" s="85">
        <v>392.77</v>
      </c>
      <c r="G21" s="76">
        <f t="shared" si="3"/>
        <v>1713.577302631579</v>
      </c>
      <c r="H21" s="76">
        <f t="shared" si="3"/>
        <v>1745.6595394736842</v>
      </c>
      <c r="I21" s="85">
        <v>193.8</v>
      </c>
    </row>
    <row r="22" spans="2:12">
      <c r="B22" s="84">
        <v>3537.88</v>
      </c>
      <c r="C22" s="84">
        <v>4446.1499999999996</v>
      </c>
      <c r="D22" s="84">
        <v>382.46</v>
      </c>
      <c r="G22" s="76">
        <f t="shared" si="3"/>
        <v>1745.6644736842106</v>
      </c>
      <c r="H22" s="76">
        <f t="shared" si="3"/>
        <v>2193.8240131578946</v>
      </c>
      <c r="I22" s="84">
        <v>188.7</v>
      </c>
    </row>
    <row r="23" spans="2:12">
      <c r="B23" s="85">
        <v>4446.16</v>
      </c>
      <c r="C23" s="85">
        <v>4717.18</v>
      </c>
      <c r="D23" s="85">
        <v>354.23</v>
      </c>
      <c r="G23" s="76">
        <f t="shared" si="3"/>
        <v>2193.8289473684213</v>
      </c>
      <c r="H23" s="76">
        <f t="shared" si="3"/>
        <v>2327.5559210526317</v>
      </c>
      <c r="I23" s="85">
        <v>174.75</v>
      </c>
    </row>
    <row r="24" spans="2:12">
      <c r="B24" s="84">
        <v>4717.1899999999996</v>
      </c>
      <c r="C24" s="84">
        <v>5335.42</v>
      </c>
      <c r="D24" s="84">
        <v>324.87</v>
      </c>
      <c r="G24" s="76">
        <f t="shared" si="3"/>
        <v>2327.5608552631579</v>
      </c>
      <c r="H24" s="76">
        <f t="shared" si="3"/>
        <v>2632.6085526315792</v>
      </c>
      <c r="I24" s="84">
        <v>160.35</v>
      </c>
    </row>
    <row r="25" spans="2:12">
      <c r="B25" s="85">
        <v>5335.43</v>
      </c>
      <c r="C25" s="85">
        <v>6224.67</v>
      </c>
      <c r="D25" s="85">
        <v>294.63</v>
      </c>
      <c r="G25" s="76">
        <f t="shared" si="3"/>
        <v>2632.6134868421054</v>
      </c>
      <c r="H25" s="76">
        <f t="shared" si="3"/>
        <v>3071.3832236842109</v>
      </c>
      <c r="I25" s="85">
        <v>145.35</v>
      </c>
    </row>
    <row r="26" spans="2:12">
      <c r="B26" s="84">
        <v>6224.68</v>
      </c>
      <c r="C26" s="84">
        <v>7113.9</v>
      </c>
      <c r="D26" s="84">
        <v>253.54</v>
      </c>
      <c r="G26" s="76">
        <f t="shared" si="3"/>
        <v>3071.3881578947371</v>
      </c>
      <c r="H26" s="76">
        <f t="shared" si="3"/>
        <v>3510.1480263157896</v>
      </c>
      <c r="I26" s="84">
        <v>125.1</v>
      </c>
    </row>
    <row r="27" spans="2:12">
      <c r="B27" s="85">
        <v>7113.91</v>
      </c>
      <c r="C27" s="85">
        <v>7382.33</v>
      </c>
      <c r="D27" s="85">
        <v>217.61</v>
      </c>
      <c r="G27" s="76">
        <f t="shared" si="3"/>
        <v>3510.1529605263158</v>
      </c>
      <c r="H27" s="76">
        <f t="shared" si="3"/>
        <v>3642.5970394736842</v>
      </c>
      <c r="I27" s="85">
        <v>107.4</v>
      </c>
    </row>
    <row r="28" spans="2:12">
      <c r="B28" s="84">
        <v>7382.34</v>
      </c>
      <c r="C28" s="84" t="s">
        <v>203</v>
      </c>
      <c r="D28" s="84">
        <v>0</v>
      </c>
      <c r="G28" s="76">
        <f t="shared" si="3"/>
        <v>3642.6019736842109</v>
      </c>
      <c r="H28" s="84" t="s">
        <v>203</v>
      </c>
      <c r="I28" s="84">
        <v>0</v>
      </c>
    </row>
    <row r="30" spans="2:12">
      <c r="B30" s="155" t="s">
        <v>204</v>
      </c>
      <c r="C30" s="155"/>
      <c r="D30" s="155"/>
      <c r="E30" s="155"/>
      <c r="G30" s="86"/>
      <c r="H30" s="86"/>
      <c r="I30" s="87"/>
      <c r="J30" s="86"/>
      <c r="K30" s="86"/>
      <c r="L30" s="86"/>
    </row>
    <row r="31" spans="2:12" ht="50">
      <c r="B31" s="78" t="s">
        <v>200</v>
      </c>
      <c r="C31" s="78" t="s">
        <v>201</v>
      </c>
      <c r="D31" s="78" t="s">
        <v>202</v>
      </c>
      <c r="E31" s="73" t="s">
        <v>210</v>
      </c>
      <c r="G31" s="86"/>
      <c r="H31" s="87"/>
      <c r="I31" s="87"/>
      <c r="J31" s="86"/>
      <c r="K31" s="86"/>
      <c r="L31" s="86"/>
    </row>
    <row r="32" spans="2:12">
      <c r="B32" s="79">
        <v>0.01</v>
      </c>
      <c r="C32" s="81">
        <f t="shared" ref="C32:D32" si="4">+C4/30.4*365</f>
        <v>7739.2006578947376</v>
      </c>
      <c r="D32" s="81">
        <f t="shared" si="4"/>
        <v>0</v>
      </c>
      <c r="E32" s="80">
        <v>1.9199999999999998E-2</v>
      </c>
      <c r="G32" s="86"/>
      <c r="H32" s="87"/>
      <c r="I32" s="87"/>
      <c r="J32" s="86"/>
      <c r="K32" s="86"/>
      <c r="L32" s="86"/>
    </row>
    <row r="33" spans="2:12">
      <c r="B33" s="81">
        <f>+B5/30.4*365</f>
        <v>7739.3207236842118</v>
      </c>
      <c r="C33" s="81">
        <f t="shared" ref="C33:D33" si="5">+C5/30.4*365</f>
        <v>65687.03289473684</v>
      </c>
      <c r="D33" s="81">
        <f t="shared" si="5"/>
        <v>148.64144736842107</v>
      </c>
      <c r="E33" s="82">
        <v>6.4000000000000001E-2</v>
      </c>
      <c r="G33" s="86"/>
      <c r="H33" s="87"/>
      <c r="I33" s="87"/>
      <c r="J33" s="86"/>
      <c r="K33" s="86"/>
      <c r="L33" s="86"/>
    </row>
    <row r="34" spans="2:12">
      <c r="B34" s="81">
        <f t="shared" ref="B34:D42" si="6">+B6/30.4*365</f>
        <v>65687.15296052632</v>
      </c>
      <c r="C34" s="81">
        <f t="shared" si="6"/>
        <v>115439.17434210527</v>
      </c>
      <c r="D34" s="81">
        <f t="shared" si="6"/>
        <v>3857.2335526315787</v>
      </c>
      <c r="E34" s="80">
        <v>0.10880000000000001</v>
      </c>
      <c r="G34" s="86"/>
      <c r="H34" s="87"/>
      <c r="I34" s="87"/>
      <c r="J34" s="86"/>
      <c r="K34" s="86"/>
      <c r="L34" s="86"/>
    </row>
    <row r="35" spans="2:12">
      <c r="B35" s="81">
        <f t="shared" si="6"/>
        <v>115439.29440789475</v>
      </c>
      <c r="C35" s="81">
        <f t="shared" si="6"/>
        <v>134192.97039473685</v>
      </c>
      <c r="D35" s="81">
        <f t="shared" si="6"/>
        <v>9270.2796052631584</v>
      </c>
      <c r="E35" s="82">
        <v>0.16</v>
      </c>
      <c r="G35" s="86"/>
      <c r="H35" s="87"/>
      <c r="I35" s="87"/>
      <c r="J35" s="86"/>
      <c r="K35" s="86"/>
      <c r="L35" s="86"/>
    </row>
    <row r="36" spans="2:12">
      <c r="B36" s="81">
        <f t="shared" si="6"/>
        <v>134193.09046052632</v>
      </c>
      <c r="C36" s="81">
        <f t="shared" si="6"/>
        <v>160665.67598684211</v>
      </c>
      <c r="D36" s="81">
        <f t="shared" si="6"/>
        <v>12270.84375</v>
      </c>
      <c r="E36" s="80">
        <v>0.17920000000000003</v>
      </c>
      <c r="G36" s="87"/>
      <c r="H36" s="87"/>
      <c r="I36" s="87"/>
      <c r="J36" s="86"/>
      <c r="K36" s="86"/>
      <c r="L36" s="86"/>
    </row>
    <row r="37" spans="2:12">
      <c r="B37" s="81">
        <f t="shared" si="6"/>
        <v>160665.79605263157</v>
      </c>
      <c r="C37" s="81">
        <f t="shared" si="6"/>
        <v>324039.55592105264</v>
      </c>
      <c r="D37" s="81">
        <f t="shared" si="6"/>
        <v>17014.763157894737</v>
      </c>
      <c r="E37" s="82">
        <v>0.21359999999999998</v>
      </c>
      <c r="G37" s="87"/>
      <c r="H37" s="87"/>
      <c r="I37" s="87"/>
      <c r="J37" s="86"/>
      <c r="K37" s="86"/>
      <c r="L37" s="86"/>
    </row>
    <row r="38" spans="2:12">
      <c r="B38" s="81">
        <f t="shared" si="6"/>
        <v>324039.67598684214</v>
      </c>
      <c r="C38" s="81">
        <f t="shared" si="6"/>
        <v>510730.8125</v>
      </c>
      <c r="D38" s="81">
        <f t="shared" si="6"/>
        <v>51911.404605263153</v>
      </c>
      <c r="E38" s="80">
        <v>0.23519999999999999</v>
      </c>
      <c r="G38" s="87"/>
      <c r="H38" s="87"/>
      <c r="I38" s="87"/>
      <c r="J38" s="86"/>
      <c r="K38" s="86"/>
      <c r="L38" s="86"/>
    </row>
    <row r="39" spans="2:12">
      <c r="B39" s="81">
        <f t="shared" si="6"/>
        <v>510730.9325657895</v>
      </c>
      <c r="C39" s="81">
        <f t="shared" si="6"/>
        <v>975069.28453947371</v>
      </c>
      <c r="D39" s="81">
        <f t="shared" si="6"/>
        <v>95821.264802631573</v>
      </c>
      <c r="E39" s="82">
        <v>0.3</v>
      </c>
      <c r="G39" s="87"/>
      <c r="H39" s="87"/>
      <c r="I39" s="87"/>
      <c r="J39" s="86"/>
      <c r="K39" s="86"/>
      <c r="L39" s="86"/>
    </row>
    <row r="40" spans="2:12">
      <c r="B40" s="81">
        <f t="shared" si="6"/>
        <v>975069.40460526303</v>
      </c>
      <c r="C40" s="81">
        <f t="shared" si="6"/>
        <v>1300092.4194078948</v>
      </c>
      <c r="D40" s="81">
        <f t="shared" si="6"/>
        <v>235122.79440789478</v>
      </c>
      <c r="E40" s="80">
        <v>0.32</v>
      </c>
      <c r="G40" s="87"/>
      <c r="H40" s="87"/>
      <c r="I40" s="87"/>
      <c r="J40" s="86"/>
      <c r="K40" s="86"/>
      <c r="L40" s="86"/>
    </row>
    <row r="41" spans="2:12">
      <c r="B41" s="81">
        <f t="shared" si="6"/>
        <v>1300092.5394736843</v>
      </c>
      <c r="C41" s="81">
        <f t="shared" si="6"/>
        <v>3900277.2582236845</v>
      </c>
      <c r="D41" s="81">
        <f t="shared" si="6"/>
        <v>339130.14473684214</v>
      </c>
      <c r="E41" s="82">
        <v>0.34</v>
      </c>
      <c r="G41" s="87"/>
      <c r="H41" s="87"/>
      <c r="I41" s="87"/>
      <c r="J41" s="86"/>
      <c r="K41" s="86"/>
      <c r="L41" s="86"/>
    </row>
    <row r="42" spans="2:12">
      <c r="B42" s="81">
        <f t="shared" si="6"/>
        <v>3900277.3782894742</v>
      </c>
      <c r="C42" s="79" t="s">
        <v>203</v>
      </c>
      <c r="D42" s="81">
        <f t="shared" si="6"/>
        <v>1223193.042763158</v>
      </c>
      <c r="E42" s="80">
        <v>0.35</v>
      </c>
      <c r="G42" s="87"/>
      <c r="H42" s="87"/>
      <c r="I42" s="87"/>
      <c r="J42" s="86"/>
      <c r="K42" s="86"/>
      <c r="L42" s="86"/>
    </row>
    <row r="43" spans="2:12">
      <c r="G43" s="87"/>
      <c r="H43" s="87"/>
      <c r="I43" s="87"/>
      <c r="J43" s="86"/>
      <c r="K43" s="86"/>
      <c r="L43" s="86"/>
    </row>
    <row r="44" spans="2:12">
      <c r="G44" s="87"/>
      <c r="H44" s="87"/>
      <c r="I44" s="87"/>
      <c r="J44" s="87"/>
      <c r="K44" s="86"/>
      <c r="L44" s="86"/>
    </row>
    <row r="45" spans="2:12">
      <c r="G45" s="87"/>
      <c r="H45" s="87"/>
      <c r="I45" s="87"/>
      <c r="J45" s="87"/>
      <c r="K45" s="86"/>
      <c r="L45" s="86"/>
    </row>
    <row r="46" spans="2:12">
      <c r="G46" s="87"/>
      <c r="H46" s="87"/>
      <c r="I46" s="87"/>
      <c r="J46" s="87"/>
      <c r="K46" s="86"/>
      <c r="L46" s="86"/>
    </row>
    <row r="47" spans="2:12">
      <c r="G47" s="87"/>
      <c r="H47" s="87"/>
      <c r="I47" s="87"/>
      <c r="J47" s="87"/>
      <c r="K47" s="86"/>
      <c r="L47" s="86"/>
    </row>
    <row r="48" spans="2:12">
      <c r="G48" s="87"/>
      <c r="H48" s="87"/>
      <c r="I48" s="86"/>
      <c r="J48" s="87"/>
      <c r="K48" s="86"/>
      <c r="L48" s="86"/>
    </row>
    <row r="49" spans="7:10">
      <c r="G49" s="88"/>
    </row>
    <row r="50" spans="7:10">
      <c r="G50" s="91"/>
    </row>
    <row r="51" spans="7:10">
      <c r="G51" s="88"/>
    </row>
    <row r="52" spans="7:10">
      <c r="G52" s="90"/>
      <c r="H52" s="90"/>
      <c r="I52" s="90"/>
      <c r="J52" s="90"/>
    </row>
    <row r="53" spans="7:10">
      <c r="G53" s="86"/>
      <c r="H53" s="86"/>
      <c r="I53" s="86"/>
      <c r="J53" s="90"/>
    </row>
    <row r="54" spans="7:10">
      <c r="G54" s="90"/>
      <c r="H54" s="90"/>
      <c r="I54" s="90"/>
      <c r="J54" s="90"/>
    </row>
    <row r="55" spans="7:10">
      <c r="G55" s="86"/>
      <c r="H55" s="86"/>
      <c r="I55" s="86"/>
      <c r="J55" s="86"/>
    </row>
    <row r="56" spans="7:10">
      <c r="G56" s="86"/>
      <c r="H56" s="87"/>
      <c r="I56" s="86"/>
      <c r="J56" s="86"/>
    </row>
    <row r="57" spans="7:10">
      <c r="G57" s="87"/>
      <c r="H57" s="87"/>
      <c r="I57" s="86"/>
      <c r="J57" s="86"/>
    </row>
    <row r="58" spans="7:10">
      <c r="G58" s="87"/>
      <c r="H58" s="87"/>
      <c r="I58" s="86"/>
      <c r="J58" s="86"/>
    </row>
    <row r="59" spans="7:10">
      <c r="G59" s="87"/>
      <c r="H59" s="87"/>
      <c r="I59" s="86"/>
      <c r="J59" s="86"/>
    </row>
    <row r="60" spans="7:10">
      <c r="G60" s="87"/>
      <c r="H60" s="87"/>
      <c r="I60" s="87"/>
      <c r="J60" s="86"/>
    </row>
    <row r="61" spans="7:10">
      <c r="G61" s="87"/>
      <c r="H61" s="87"/>
      <c r="I61" s="87"/>
      <c r="J61" s="86"/>
    </row>
    <row r="62" spans="7:10">
      <c r="G62" s="87"/>
      <c r="H62" s="87"/>
      <c r="I62" s="87"/>
      <c r="J62" s="86"/>
    </row>
    <row r="63" spans="7:10">
      <c r="G63" s="87"/>
      <c r="H63" s="87"/>
      <c r="I63" s="87"/>
      <c r="J63" s="86"/>
    </row>
    <row r="64" spans="7:10">
      <c r="G64" s="87"/>
      <c r="H64" s="87"/>
      <c r="I64" s="87"/>
      <c r="J64" s="86"/>
    </row>
    <row r="65" spans="7:10">
      <c r="G65" s="87"/>
      <c r="H65" s="86"/>
      <c r="I65" s="87"/>
      <c r="J65" s="86"/>
    </row>
    <row r="66" spans="7:10">
      <c r="G66" s="88"/>
    </row>
    <row r="67" spans="7:10">
      <c r="G67" s="89"/>
    </row>
    <row r="68" spans="7:10">
      <c r="G68" s="88"/>
    </row>
    <row r="69" spans="7:10" ht="27.65" customHeight="1">
      <c r="G69" s="162"/>
      <c r="H69" s="162"/>
      <c r="I69" s="162"/>
    </row>
    <row r="70" spans="7:10">
      <c r="G70" s="90"/>
      <c r="H70" s="90"/>
      <c r="I70" s="90"/>
    </row>
    <row r="71" spans="7:10">
      <c r="G71" s="90"/>
      <c r="H71" s="90"/>
      <c r="I71" s="90"/>
    </row>
    <row r="72" spans="7:10">
      <c r="G72" s="86"/>
      <c r="H72" s="87"/>
      <c r="I72" s="86"/>
    </row>
    <row r="73" spans="7:10">
      <c r="G73" s="87"/>
      <c r="H73" s="87"/>
      <c r="I73" s="86"/>
    </row>
    <row r="74" spans="7:10">
      <c r="G74" s="87"/>
      <c r="H74" s="87"/>
      <c r="I74" s="86"/>
    </row>
    <row r="75" spans="7:10">
      <c r="G75" s="87"/>
      <c r="H75" s="87"/>
      <c r="I75" s="86"/>
    </row>
    <row r="76" spans="7:10">
      <c r="G76" s="87"/>
      <c r="H76" s="87"/>
      <c r="I76" s="86"/>
    </row>
    <row r="77" spans="7:10">
      <c r="G77" s="87"/>
      <c r="H77" s="87"/>
      <c r="I77" s="86"/>
    </row>
    <row r="78" spans="7:10">
      <c r="G78" s="87"/>
      <c r="H78" s="87"/>
      <c r="I78" s="86"/>
    </row>
    <row r="79" spans="7:10">
      <c r="G79" s="87"/>
      <c r="H79" s="87"/>
      <c r="I79" s="86"/>
    </row>
    <row r="80" spans="7:10">
      <c r="G80" s="87"/>
      <c r="H80" s="87"/>
      <c r="I80" s="86"/>
    </row>
    <row r="81" spans="7:12">
      <c r="G81" s="87"/>
      <c r="H81" s="87"/>
      <c r="I81" s="86"/>
    </row>
    <row r="82" spans="7:12">
      <c r="G82" s="87"/>
      <c r="H82" s="86"/>
      <c r="I82" s="86"/>
    </row>
    <row r="83" spans="7:12">
      <c r="G83" s="88"/>
    </row>
    <row r="84" spans="7:12">
      <c r="G84" s="89"/>
    </row>
    <row r="85" spans="7:12">
      <c r="G85" s="88"/>
    </row>
    <row r="86" spans="7:12">
      <c r="G86" s="90"/>
      <c r="H86" s="90"/>
      <c r="I86" s="90"/>
      <c r="J86" s="90"/>
      <c r="K86" s="90"/>
      <c r="L86" s="90"/>
    </row>
    <row r="87" spans="7:12">
      <c r="G87" s="86"/>
      <c r="H87" s="86"/>
      <c r="I87" s="86"/>
      <c r="J87" s="86"/>
      <c r="K87" s="90"/>
      <c r="L87" s="90"/>
    </row>
    <row r="88" spans="7:12">
      <c r="G88" s="86"/>
      <c r="H88" s="86"/>
      <c r="I88" s="86"/>
      <c r="J88" s="86"/>
      <c r="K88" s="90"/>
      <c r="L88" s="90"/>
    </row>
    <row r="89" spans="7:12">
      <c r="G89" s="86"/>
      <c r="H89" s="86"/>
      <c r="I89" s="86"/>
      <c r="J89" s="86"/>
      <c r="K89" s="90"/>
      <c r="L89" s="86"/>
    </row>
    <row r="90" spans="7:12">
      <c r="G90" s="90"/>
      <c r="H90" s="90"/>
      <c r="I90" s="90"/>
      <c r="J90" s="90"/>
      <c r="K90" s="90"/>
      <c r="L90" s="90"/>
    </row>
    <row r="91" spans="7:12">
      <c r="G91" s="86"/>
      <c r="H91" s="86"/>
      <c r="I91" s="86"/>
      <c r="J91" s="86"/>
      <c r="K91" s="86"/>
      <c r="L91" s="86"/>
    </row>
    <row r="92" spans="7:12">
      <c r="G92" s="86"/>
      <c r="H92" s="86"/>
      <c r="I92" s="87"/>
      <c r="J92" s="86"/>
      <c r="K92" s="86"/>
      <c r="L92" s="86"/>
    </row>
    <row r="93" spans="7:12">
      <c r="G93" s="86"/>
      <c r="H93" s="87"/>
      <c r="I93" s="87"/>
      <c r="J93" s="86"/>
      <c r="K93" s="86"/>
      <c r="L93" s="86"/>
    </row>
    <row r="94" spans="7:12">
      <c r="G94" s="86"/>
      <c r="H94" s="87"/>
      <c r="I94" s="87"/>
      <c r="J94" s="86"/>
      <c r="K94" s="86"/>
      <c r="L94" s="86"/>
    </row>
    <row r="95" spans="7:12">
      <c r="G95" s="86"/>
      <c r="H95" s="87"/>
      <c r="I95" s="87"/>
      <c r="J95" s="86"/>
      <c r="K95" s="86"/>
      <c r="L95" s="86"/>
    </row>
    <row r="96" spans="7:12">
      <c r="G96" s="86"/>
      <c r="H96" s="87"/>
      <c r="I96" s="87"/>
      <c r="J96" s="86"/>
      <c r="K96" s="86"/>
      <c r="L96" s="86"/>
    </row>
    <row r="97" spans="7:12">
      <c r="G97" s="86"/>
      <c r="H97" s="87"/>
      <c r="I97" s="87"/>
      <c r="J97" s="86"/>
      <c r="K97" s="86"/>
      <c r="L97" s="86"/>
    </row>
    <row r="98" spans="7:12">
      <c r="G98" s="86"/>
      <c r="H98" s="87"/>
      <c r="I98" s="87"/>
      <c r="J98" s="86"/>
      <c r="K98" s="86"/>
      <c r="L98" s="86"/>
    </row>
    <row r="99" spans="7:12">
      <c r="G99" s="87"/>
      <c r="H99" s="87"/>
      <c r="I99" s="87"/>
      <c r="J99" s="86"/>
      <c r="K99" s="86"/>
      <c r="L99" s="86"/>
    </row>
    <row r="100" spans="7:12">
      <c r="G100" s="87"/>
      <c r="H100" s="87"/>
      <c r="I100" s="87"/>
      <c r="J100" s="86"/>
      <c r="K100" s="86"/>
      <c r="L100" s="86"/>
    </row>
    <row r="101" spans="7:12">
      <c r="G101" s="87"/>
      <c r="H101" s="87"/>
      <c r="I101" s="87"/>
      <c r="J101" s="86"/>
      <c r="K101" s="86"/>
      <c r="L101" s="86"/>
    </row>
    <row r="102" spans="7:12">
      <c r="G102" s="87"/>
      <c r="H102" s="87"/>
      <c r="I102" s="87"/>
      <c r="J102" s="86"/>
      <c r="K102" s="86"/>
      <c r="L102" s="86"/>
    </row>
    <row r="103" spans="7:12">
      <c r="G103" s="87"/>
      <c r="H103" s="87"/>
      <c r="I103" s="87"/>
      <c r="J103" s="86"/>
      <c r="K103" s="86"/>
      <c r="L103" s="86"/>
    </row>
    <row r="104" spans="7:12">
      <c r="G104" s="87"/>
      <c r="H104" s="87"/>
      <c r="I104" s="87"/>
      <c r="J104" s="86"/>
      <c r="K104" s="86"/>
      <c r="L104" s="86"/>
    </row>
    <row r="105" spans="7:12">
      <c r="G105" s="87"/>
      <c r="H105" s="87"/>
      <c r="I105" s="87"/>
      <c r="J105" s="86"/>
      <c r="K105" s="86"/>
      <c r="L105" s="86"/>
    </row>
    <row r="106" spans="7:12">
      <c r="G106" s="87"/>
      <c r="H106" s="87"/>
      <c r="I106" s="87"/>
      <c r="J106" s="87"/>
      <c r="K106" s="86"/>
      <c r="L106" s="86"/>
    </row>
    <row r="107" spans="7:12">
      <c r="G107" s="87"/>
      <c r="H107" s="87"/>
      <c r="I107" s="87"/>
      <c r="J107" s="87"/>
      <c r="K107" s="86"/>
      <c r="L107" s="86"/>
    </row>
    <row r="108" spans="7:12">
      <c r="G108" s="87"/>
      <c r="H108" s="87"/>
      <c r="I108" s="87"/>
      <c r="J108" s="87"/>
      <c r="K108" s="86"/>
      <c r="L108" s="86"/>
    </row>
    <row r="109" spans="7:12">
      <c r="G109" s="87"/>
      <c r="H109" s="87"/>
      <c r="I109" s="87"/>
      <c r="J109" s="87"/>
      <c r="K109" s="86"/>
      <c r="L109" s="86"/>
    </row>
    <row r="110" spans="7:12">
      <c r="G110" s="87"/>
      <c r="H110" s="87"/>
      <c r="I110" s="87"/>
      <c r="J110" s="87"/>
      <c r="K110" s="86"/>
      <c r="L110" s="86"/>
    </row>
    <row r="111" spans="7:12">
      <c r="G111" s="87"/>
      <c r="H111" s="87"/>
      <c r="I111" s="86"/>
      <c r="J111" s="87"/>
      <c r="K111" s="86"/>
      <c r="L111" s="86"/>
    </row>
    <row r="112" spans="7:12">
      <c r="G112" s="88"/>
    </row>
    <row r="113" spans="7:10">
      <c r="G113" s="91"/>
    </row>
    <row r="114" spans="7:10">
      <c r="G114" s="88"/>
    </row>
    <row r="115" spans="7:10">
      <c r="G115" s="159"/>
      <c r="H115" s="159"/>
      <c r="I115" s="159"/>
      <c r="J115" s="159"/>
    </row>
    <row r="116" spans="7:10">
      <c r="G116" s="159"/>
      <c r="H116" s="159"/>
      <c r="I116" s="159"/>
      <c r="J116" s="159"/>
    </row>
    <row r="117" spans="7:10" ht="16.25" customHeight="1">
      <c r="G117" s="163"/>
      <c r="H117" s="163"/>
      <c r="I117" s="163"/>
      <c r="J117" s="159"/>
    </row>
    <row r="118" spans="7:10">
      <c r="G118" s="163"/>
      <c r="H118" s="163"/>
      <c r="I118" s="163"/>
      <c r="J118" s="159"/>
    </row>
    <row r="119" spans="7:10">
      <c r="G119" s="159"/>
      <c r="H119" s="159"/>
      <c r="I119" s="159"/>
      <c r="J119" s="159"/>
    </row>
    <row r="120" spans="7:10">
      <c r="G120" s="159"/>
      <c r="H120" s="159"/>
      <c r="I120" s="159"/>
      <c r="J120" s="159"/>
    </row>
    <row r="121" spans="7:10">
      <c r="G121" s="160"/>
      <c r="H121" s="161"/>
      <c r="I121" s="160"/>
      <c r="J121" s="160"/>
    </row>
    <row r="122" spans="7:10">
      <c r="G122" s="160"/>
      <c r="H122" s="161"/>
      <c r="I122" s="160"/>
      <c r="J122" s="160"/>
    </row>
    <row r="123" spans="7:10">
      <c r="G123" s="161"/>
      <c r="H123" s="161"/>
      <c r="I123" s="160"/>
      <c r="J123" s="160"/>
    </row>
    <row r="124" spans="7:10">
      <c r="G124" s="161"/>
      <c r="H124" s="161"/>
      <c r="I124" s="160"/>
      <c r="J124" s="160"/>
    </row>
    <row r="125" spans="7:10">
      <c r="G125" s="161"/>
      <c r="H125" s="161"/>
      <c r="I125" s="161"/>
      <c r="J125" s="160"/>
    </row>
    <row r="126" spans="7:10">
      <c r="G126" s="161"/>
      <c r="H126" s="161"/>
      <c r="I126" s="161"/>
      <c r="J126" s="160"/>
    </row>
    <row r="127" spans="7:10">
      <c r="G127" s="161"/>
      <c r="H127" s="161"/>
      <c r="I127" s="161"/>
      <c r="J127" s="160"/>
    </row>
    <row r="128" spans="7:10">
      <c r="G128" s="161"/>
      <c r="H128" s="161"/>
      <c r="I128" s="161"/>
      <c r="J128" s="160"/>
    </row>
    <row r="129" spans="7:10">
      <c r="G129" s="161"/>
      <c r="H129" s="161"/>
      <c r="I129" s="161"/>
      <c r="J129" s="160"/>
    </row>
    <row r="130" spans="7:10">
      <c r="G130" s="161"/>
      <c r="H130" s="161"/>
      <c r="I130" s="161"/>
      <c r="J130" s="160"/>
    </row>
    <row r="131" spans="7:10">
      <c r="G131" s="161"/>
      <c r="H131" s="161"/>
      <c r="I131" s="161"/>
      <c r="J131" s="160"/>
    </row>
    <row r="132" spans="7:10">
      <c r="G132" s="161"/>
      <c r="H132" s="161"/>
      <c r="I132" s="161"/>
      <c r="J132" s="160"/>
    </row>
    <row r="133" spans="7:10">
      <c r="G133" s="161"/>
      <c r="H133" s="161"/>
      <c r="I133" s="161"/>
      <c r="J133" s="160"/>
    </row>
    <row r="134" spans="7:10">
      <c r="G134" s="161"/>
      <c r="H134" s="161"/>
      <c r="I134" s="161"/>
      <c r="J134" s="160"/>
    </row>
    <row r="135" spans="7:10">
      <c r="G135" s="161"/>
      <c r="H135" s="161"/>
      <c r="I135" s="161"/>
      <c r="J135" s="160"/>
    </row>
    <row r="136" spans="7:10">
      <c r="G136" s="161"/>
      <c r="H136" s="161"/>
      <c r="I136" s="161"/>
      <c r="J136" s="160"/>
    </row>
    <row r="137" spans="7:10">
      <c r="G137" s="161"/>
      <c r="H137" s="161"/>
      <c r="I137" s="161"/>
      <c r="J137" s="160"/>
    </row>
    <row r="138" spans="7:10">
      <c r="G138" s="161"/>
      <c r="H138" s="161"/>
      <c r="I138" s="161"/>
      <c r="J138" s="160"/>
    </row>
    <row r="139" spans="7:10">
      <c r="G139" s="161"/>
      <c r="H139" s="161"/>
      <c r="I139" s="161"/>
      <c r="J139" s="160"/>
    </row>
    <row r="140" spans="7:10">
      <c r="G140" s="161"/>
      <c r="H140" s="161"/>
      <c r="I140" s="161"/>
      <c r="J140" s="160"/>
    </row>
    <row r="141" spans="7:10">
      <c r="G141" s="161"/>
      <c r="H141" s="160"/>
      <c r="I141" s="161"/>
      <c r="J141" s="160"/>
    </row>
    <row r="142" spans="7:10">
      <c r="G142" s="161"/>
      <c r="H142" s="160"/>
      <c r="I142" s="161"/>
      <c r="J142" s="160"/>
    </row>
    <row r="143" spans="7:10">
      <c r="G143" s="88"/>
    </row>
    <row r="144" spans="7:10" ht="20">
      <c r="G144" s="92"/>
    </row>
    <row r="145" spans="7:10">
      <c r="G145" s="88"/>
    </row>
    <row r="146" spans="7:10">
      <c r="G146" s="93"/>
    </row>
    <row r="147" spans="7:10">
      <c r="G147" s="88"/>
    </row>
    <row r="148" spans="7:10">
      <c r="G148" s="90"/>
      <c r="H148" s="90"/>
      <c r="I148" s="90"/>
      <c r="J148" s="90"/>
    </row>
    <row r="149" spans="7:10">
      <c r="G149" s="86"/>
      <c r="H149" s="86"/>
      <c r="I149" s="86"/>
      <c r="J149" s="90"/>
    </row>
    <row r="150" spans="7:10">
      <c r="G150" s="90"/>
      <c r="H150" s="90"/>
      <c r="I150" s="90"/>
      <c r="J150" s="90"/>
    </row>
    <row r="151" spans="7:10">
      <c r="G151" s="86"/>
      <c r="H151" s="86"/>
      <c r="I151" s="86"/>
      <c r="J151" s="86"/>
    </row>
    <row r="152" spans="7:10">
      <c r="G152" s="86"/>
      <c r="H152" s="87"/>
      <c r="I152" s="86"/>
      <c r="J152" s="86"/>
    </row>
    <row r="153" spans="7:10">
      <c r="G153" s="87"/>
      <c r="H153" s="87"/>
      <c r="I153" s="86"/>
      <c r="J153" s="86"/>
    </row>
    <row r="154" spans="7:10">
      <c r="G154" s="87"/>
      <c r="H154" s="87"/>
      <c r="I154" s="86"/>
      <c r="J154" s="86"/>
    </row>
    <row r="155" spans="7:10">
      <c r="G155" s="87"/>
      <c r="H155" s="87"/>
      <c r="I155" s="86"/>
      <c r="J155" s="86"/>
    </row>
    <row r="156" spans="7:10">
      <c r="G156" s="87"/>
      <c r="H156" s="87"/>
      <c r="I156" s="87"/>
      <c r="J156" s="86"/>
    </row>
    <row r="157" spans="7:10">
      <c r="G157" s="87"/>
      <c r="H157" s="87"/>
      <c r="I157" s="87"/>
      <c r="J157" s="86"/>
    </row>
    <row r="158" spans="7:10">
      <c r="G158" s="87"/>
      <c r="H158" s="87"/>
      <c r="I158" s="87"/>
      <c r="J158" s="86"/>
    </row>
    <row r="159" spans="7:10">
      <c r="G159" s="87"/>
      <c r="H159" s="87"/>
      <c r="I159" s="87"/>
      <c r="J159" s="86"/>
    </row>
    <row r="160" spans="7:10">
      <c r="G160" s="87"/>
      <c r="H160" s="87"/>
      <c r="I160" s="87"/>
      <c r="J160" s="86"/>
    </row>
    <row r="161" spans="7:10">
      <c r="G161" s="87"/>
      <c r="H161" s="86"/>
      <c r="I161" s="87"/>
      <c r="J161" s="86"/>
    </row>
    <row r="162" spans="7:10">
      <c r="G162" s="88"/>
    </row>
    <row r="163" spans="7:10">
      <c r="G163" s="93"/>
    </row>
    <row r="164" spans="7:10">
      <c r="G164" s="88"/>
    </row>
    <row r="165" spans="7:10">
      <c r="G165" s="90"/>
      <c r="H165" s="90"/>
      <c r="I165" s="90"/>
      <c r="J165" s="90"/>
    </row>
    <row r="166" spans="7:10">
      <c r="G166" s="86"/>
      <c r="H166" s="86"/>
      <c r="I166" s="86"/>
      <c r="J166" s="90"/>
    </row>
    <row r="167" spans="7:10">
      <c r="G167" s="90"/>
      <c r="H167" s="90"/>
      <c r="I167" s="90"/>
      <c r="J167" s="90"/>
    </row>
    <row r="168" spans="7:10">
      <c r="G168" s="86"/>
      <c r="H168" s="87"/>
      <c r="I168" s="86"/>
      <c r="J168" s="86"/>
    </row>
    <row r="169" spans="7:10">
      <c r="G169" s="87"/>
      <c r="H169" s="87"/>
      <c r="I169" s="86"/>
      <c r="J169" s="86"/>
    </row>
    <row r="170" spans="7:10">
      <c r="G170" s="87"/>
      <c r="H170" s="87"/>
      <c r="I170" s="86"/>
      <c r="J170" s="86"/>
    </row>
    <row r="171" spans="7:10">
      <c r="G171" s="87"/>
      <c r="H171" s="87"/>
      <c r="I171" s="87"/>
      <c r="J171" s="86"/>
    </row>
    <row r="172" spans="7:10">
      <c r="G172" s="87"/>
      <c r="H172" s="87"/>
      <c r="I172" s="87"/>
      <c r="J172" s="86"/>
    </row>
    <row r="173" spans="7:10">
      <c r="G173" s="87"/>
      <c r="H173" s="87"/>
      <c r="I173" s="87"/>
      <c r="J173" s="86"/>
    </row>
    <row r="174" spans="7:10">
      <c r="G174" s="87"/>
      <c r="H174" s="87"/>
      <c r="I174" s="87"/>
      <c r="J174" s="86"/>
    </row>
    <row r="175" spans="7:10">
      <c r="G175" s="87"/>
      <c r="H175" s="87"/>
      <c r="I175" s="87"/>
      <c r="J175" s="86"/>
    </row>
    <row r="176" spans="7:10">
      <c r="G176" s="87"/>
      <c r="H176" s="87"/>
      <c r="I176" s="87"/>
      <c r="J176" s="86"/>
    </row>
    <row r="177" spans="7:10">
      <c r="G177" s="87"/>
      <c r="H177" s="87"/>
      <c r="I177" s="87"/>
      <c r="J177" s="86"/>
    </row>
    <row r="178" spans="7:10">
      <c r="G178" s="87"/>
      <c r="H178" s="86"/>
      <c r="I178" s="87"/>
      <c r="J178" s="86"/>
    </row>
    <row r="179" spans="7:10">
      <c r="G179" s="88"/>
    </row>
    <row r="180" spans="7:10">
      <c r="G180" s="93"/>
    </row>
    <row r="181" spans="7:10">
      <c r="G181" s="88"/>
    </row>
    <row r="182" spans="7:10">
      <c r="G182" s="90"/>
      <c r="H182" s="90"/>
      <c r="I182" s="90"/>
      <c r="J182" s="90"/>
    </row>
    <row r="183" spans="7:10">
      <c r="G183" s="86"/>
      <c r="H183" s="86"/>
      <c r="I183" s="86"/>
      <c r="J183" s="90"/>
    </row>
    <row r="184" spans="7:10">
      <c r="G184" s="90"/>
      <c r="H184" s="90"/>
      <c r="I184" s="90"/>
      <c r="J184" s="90"/>
    </row>
    <row r="185" spans="7:10">
      <c r="G185" s="86"/>
      <c r="H185" s="87"/>
      <c r="I185" s="86"/>
      <c r="J185" s="86"/>
    </row>
    <row r="186" spans="7:10">
      <c r="G186" s="87"/>
      <c r="H186" s="87"/>
      <c r="I186" s="86"/>
      <c r="J186" s="86"/>
    </row>
    <row r="187" spans="7:10">
      <c r="G187" s="87"/>
      <c r="H187" s="87"/>
      <c r="I187" s="86"/>
      <c r="J187" s="86"/>
    </row>
    <row r="188" spans="7:10">
      <c r="G188" s="87"/>
      <c r="H188" s="87"/>
      <c r="I188" s="87"/>
      <c r="J188" s="86"/>
    </row>
    <row r="189" spans="7:10">
      <c r="G189" s="87"/>
      <c r="H189" s="87"/>
      <c r="I189" s="87"/>
      <c r="J189" s="86"/>
    </row>
    <row r="190" spans="7:10">
      <c r="G190" s="87"/>
      <c r="H190" s="87"/>
      <c r="I190" s="87"/>
      <c r="J190" s="86"/>
    </row>
    <row r="191" spans="7:10">
      <c r="G191" s="87"/>
      <c r="H191" s="87"/>
      <c r="I191" s="87"/>
      <c r="J191" s="86"/>
    </row>
    <row r="192" spans="7:10">
      <c r="G192" s="87"/>
      <c r="H192" s="87"/>
      <c r="I192" s="87"/>
      <c r="J192" s="86"/>
    </row>
    <row r="193" spans="7:10">
      <c r="G193" s="87"/>
      <c r="H193" s="87"/>
      <c r="I193" s="87"/>
      <c r="J193" s="86"/>
    </row>
    <row r="194" spans="7:10">
      <c r="G194" s="87"/>
      <c r="H194" s="87"/>
      <c r="I194" s="87"/>
      <c r="J194" s="86"/>
    </row>
    <row r="195" spans="7:10">
      <c r="G195" s="87"/>
      <c r="H195" s="86"/>
      <c r="I195" s="87"/>
      <c r="J195" s="86"/>
    </row>
    <row r="196" spans="7:10">
      <c r="G196" s="88"/>
    </row>
    <row r="197" spans="7:10">
      <c r="G197" s="91"/>
    </row>
    <row r="198" spans="7:10">
      <c r="G198" s="88"/>
    </row>
    <row r="199" spans="7:10">
      <c r="G199" s="90"/>
      <c r="H199" s="90"/>
      <c r="I199" s="90"/>
      <c r="J199" s="90"/>
    </row>
    <row r="200" spans="7:10">
      <c r="G200" s="86"/>
      <c r="H200" s="86"/>
      <c r="I200" s="86"/>
      <c r="J200" s="90"/>
    </row>
    <row r="201" spans="7:10">
      <c r="G201" s="90"/>
      <c r="H201" s="90"/>
      <c r="I201" s="90"/>
      <c r="J201" s="90"/>
    </row>
    <row r="202" spans="7:10">
      <c r="G202" s="86"/>
      <c r="H202" s="87"/>
      <c r="I202" s="86"/>
      <c r="J202" s="86"/>
    </row>
    <row r="203" spans="7:10">
      <c r="G203" s="87"/>
      <c r="H203" s="87"/>
      <c r="I203" s="86"/>
      <c r="J203" s="86"/>
    </row>
    <row r="204" spans="7:10">
      <c r="G204" s="87"/>
      <c r="H204" s="87"/>
      <c r="I204" s="87"/>
      <c r="J204" s="86"/>
    </row>
    <row r="205" spans="7:10">
      <c r="G205" s="87"/>
      <c r="H205" s="87"/>
      <c r="I205" s="87"/>
      <c r="J205" s="86"/>
    </row>
    <row r="206" spans="7:10">
      <c r="G206" s="87"/>
      <c r="H206" s="87"/>
      <c r="I206" s="87"/>
      <c r="J206" s="86"/>
    </row>
    <row r="207" spans="7:10">
      <c r="G207" s="87"/>
      <c r="H207" s="87"/>
      <c r="I207" s="87"/>
      <c r="J207" s="86"/>
    </row>
    <row r="208" spans="7:10">
      <c r="G208" s="87"/>
      <c r="H208" s="87"/>
      <c r="I208" s="87"/>
      <c r="J208" s="86"/>
    </row>
    <row r="209" spans="7:10">
      <c r="G209" s="87"/>
      <c r="H209" s="87"/>
      <c r="I209" s="87"/>
      <c r="J209" s="86"/>
    </row>
    <row r="210" spans="7:10">
      <c r="G210" s="87"/>
      <c r="H210" s="87"/>
      <c r="I210" s="87"/>
      <c r="J210" s="86"/>
    </row>
    <row r="211" spans="7:10">
      <c r="G211" s="87"/>
      <c r="H211" s="87"/>
      <c r="I211" s="87"/>
      <c r="J211" s="86"/>
    </row>
    <row r="212" spans="7:10">
      <c r="G212" s="87"/>
      <c r="H212" s="86"/>
      <c r="I212" s="87"/>
      <c r="J212" s="86"/>
    </row>
    <row r="213" spans="7:10">
      <c r="G213" s="88"/>
    </row>
    <row r="214" spans="7:10">
      <c r="G214" s="93"/>
    </row>
    <row r="215" spans="7:10">
      <c r="G215" s="88"/>
    </row>
    <row r="216" spans="7:10">
      <c r="G216" s="90"/>
      <c r="H216" s="90"/>
      <c r="I216" s="90"/>
      <c r="J216" s="90"/>
    </row>
    <row r="217" spans="7:10">
      <c r="G217" s="86"/>
      <c r="H217" s="86"/>
      <c r="I217" s="86"/>
      <c r="J217" s="90"/>
    </row>
    <row r="218" spans="7:10">
      <c r="G218" s="90"/>
      <c r="H218" s="90"/>
      <c r="I218" s="90"/>
      <c r="J218" s="90"/>
    </row>
    <row r="219" spans="7:10">
      <c r="G219" s="86"/>
      <c r="H219" s="87"/>
      <c r="I219" s="86"/>
      <c r="J219" s="86"/>
    </row>
    <row r="220" spans="7:10">
      <c r="G220" s="87"/>
      <c r="H220" s="87"/>
      <c r="I220" s="86"/>
      <c r="J220" s="86"/>
    </row>
    <row r="221" spans="7:10">
      <c r="G221" s="87"/>
      <c r="H221" s="87"/>
      <c r="I221" s="87"/>
      <c r="J221" s="86"/>
    </row>
    <row r="222" spans="7:10">
      <c r="G222" s="87"/>
      <c r="H222" s="87"/>
      <c r="I222" s="87"/>
      <c r="J222" s="86"/>
    </row>
    <row r="223" spans="7:10">
      <c r="G223" s="87"/>
      <c r="H223" s="87"/>
      <c r="I223" s="87"/>
      <c r="J223" s="86"/>
    </row>
    <row r="224" spans="7:10">
      <c r="G224" s="87"/>
      <c r="H224" s="87"/>
      <c r="I224" s="87"/>
      <c r="J224" s="86"/>
    </row>
    <row r="225" spans="7:10">
      <c r="G225" s="87"/>
      <c r="H225" s="87"/>
      <c r="I225" s="87"/>
      <c r="J225" s="86"/>
    </row>
    <row r="226" spans="7:10">
      <c r="G226" s="87"/>
      <c r="H226" s="87"/>
      <c r="I226" s="87"/>
      <c r="J226" s="86"/>
    </row>
    <row r="227" spans="7:10">
      <c r="G227" s="87"/>
      <c r="H227" s="87"/>
      <c r="I227" s="87"/>
      <c r="J227" s="86"/>
    </row>
    <row r="228" spans="7:10">
      <c r="G228" s="87"/>
      <c r="H228" s="87"/>
      <c r="I228" s="87"/>
      <c r="J228" s="86"/>
    </row>
    <row r="229" spans="7:10">
      <c r="G229" s="87"/>
      <c r="H229" s="86"/>
      <c r="I229" s="87"/>
      <c r="J229" s="86"/>
    </row>
    <row r="230" spans="7:10">
      <c r="G230" s="88"/>
    </row>
    <row r="231" spans="7:10">
      <c r="G231" s="93"/>
    </row>
    <row r="232" spans="7:10">
      <c r="G232" s="88"/>
    </row>
    <row r="233" spans="7:10">
      <c r="G233" s="159"/>
      <c r="H233" s="159"/>
      <c r="I233" s="159"/>
      <c r="J233" s="159"/>
    </row>
    <row r="234" spans="7:10">
      <c r="G234" s="159"/>
      <c r="H234" s="159"/>
      <c r="I234" s="159"/>
      <c r="J234" s="159"/>
    </row>
    <row r="235" spans="7:10" ht="16.25" customHeight="1">
      <c r="G235" s="163"/>
      <c r="H235" s="163"/>
      <c r="I235" s="163"/>
      <c r="J235" s="159"/>
    </row>
    <row r="236" spans="7:10">
      <c r="G236" s="163"/>
      <c r="H236" s="163"/>
      <c r="I236" s="163"/>
      <c r="J236" s="159"/>
    </row>
    <row r="237" spans="7:10">
      <c r="G237" s="159"/>
      <c r="H237" s="159"/>
      <c r="I237" s="159"/>
      <c r="J237" s="159"/>
    </row>
    <row r="238" spans="7:10">
      <c r="G238" s="159"/>
      <c r="H238" s="159"/>
      <c r="I238" s="159"/>
      <c r="J238" s="159"/>
    </row>
    <row r="239" spans="7:10">
      <c r="G239" s="160"/>
      <c r="H239" s="161"/>
      <c r="I239" s="160"/>
      <c r="J239" s="160"/>
    </row>
    <row r="240" spans="7:10">
      <c r="G240" s="160"/>
      <c r="H240" s="161"/>
      <c r="I240" s="160"/>
      <c r="J240" s="160"/>
    </row>
    <row r="241" spans="7:10">
      <c r="G241" s="161"/>
      <c r="H241" s="161"/>
      <c r="I241" s="160"/>
      <c r="J241" s="160"/>
    </row>
    <row r="242" spans="7:10">
      <c r="G242" s="161"/>
      <c r="H242" s="161"/>
      <c r="I242" s="160"/>
      <c r="J242" s="160"/>
    </row>
    <row r="243" spans="7:10">
      <c r="G243" s="161"/>
      <c r="H243" s="161"/>
      <c r="I243" s="161"/>
      <c r="J243" s="160"/>
    </row>
    <row r="244" spans="7:10">
      <c r="G244" s="161"/>
      <c r="H244" s="161"/>
      <c r="I244" s="161"/>
      <c r="J244" s="160"/>
    </row>
    <row r="245" spans="7:10">
      <c r="G245" s="161"/>
      <c r="H245" s="161"/>
      <c r="I245" s="161"/>
      <c r="J245" s="160"/>
    </row>
    <row r="246" spans="7:10">
      <c r="G246" s="161"/>
      <c r="H246" s="161"/>
      <c r="I246" s="161"/>
      <c r="J246" s="160"/>
    </row>
    <row r="247" spans="7:10">
      <c r="G247" s="161"/>
      <c r="H247" s="161"/>
      <c r="I247" s="161"/>
      <c r="J247" s="160"/>
    </row>
    <row r="248" spans="7:10">
      <c r="G248" s="161"/>
      <c r="H248" s="161"/>
      <c r="I248" s="161"/>
      <c r="J248" s="160"/>
    </row>
    <row r="249" spans="7:10">
      <c r="G249" s="161"/>
      <c r="H249" s="161"/>
      <c r="I249" s="161"/>
      <c r="J249" s="160"/>
    </row>
    <row r="250" spans="7:10">
      <c r="G250" s="161"/>
      <c r="H250" s="161"/>
      <c r="I250" s="161"/>
      <c r="J250" s="160"/>
    </row>
    <row r="251" spans="7:10">
      <c r="G251" s="161"/>
      <c r="H251" s="161"/>
      <c r="I251" s="161"/>
      <c r="J251" s="160"/>
    </row>
    <row r="252" spans="7:10">
      <c r="G252" s="161"/>
      <c r="H252" s="161"/>
      <c r="I252" s="161"/>
      <c r="J252" s="160"/>
    </row>
    <row r="253" spans="7:10">
      <c r="G253" s="161"/>
      <c r="H253" s="161"/>
      <c r="I253" s="161"/>
      <c r="J253" s="160"/>
    </row>
    <row r="254" spans="7:10">
      <c r="G254" s="161"/>
      <c r="H254" s="161"/>
      <c r="I254" s="161"/>
      <c r="J254" s="160"/>
    </row>
    <row r="255" spans="7:10">
      <c r="G255" s="161"/>
      <c r="H255" s="161"/>
      <c r="I255" s="161"/>
      <c r="J255" s="160"/>
    </row>
    <row r="256" spans="7:10">
      <c r="G256" s="161"/>
      <c r="H256" s="161"/>
      <c r="I256" s="161"/>
      <c r="J256" s="160"/>
    </row>
    <row r="257" spans="7:10">
      <c r="G257" s="161"/>
      <c r="H257" s="161"/>
      <c r="I257" s="161"/>
      <c r="J257" s="160"/>
    </row>
    <row r="258" spans="7:10">
      <c r="G258" s="161"/>
      <c r="H258" s="161"/>
      <c r="I258" s="161"/>
      <c r="J258" s="160"/>
    </row>
    <row r="259" spans="7:10">
      <c r="G259" s="161"/>
      <c r="H259" s="160"/>
      <c r="I259" s="161"/>
      <c r="J259" s="160"/>
    </row>
    <row r="260" spans="7:10">
      <c r="G260" s="161"/>
      <c r="H260" s="160"/>
      <c r="I260" s="161"/>
      <c r="J260" s="160"/>
    </row>
    <row r="261" spans="7:10">
      <c r="G261" s="88"/>
    </row>
    <row r="262" spans="7:10">
      <c r="G262" s="91"/>
    </row>
    <row r="263" spans="7:10">
      <c r="G263" s="88"/>
    </row>
    <row r="264" spans="7:10">
      <c r="G264" s="90"/>
      <c r="H264" s="90"/>
      <c r="I264" s="90"/>
      <c r="J264" s="90"/>
    </row>
    <row r="265" spans="7:10">
      <c r="G265" s="86"/>
      <c r="H265" s="86"/>
      <c r="I265" s="86"/>
      <c r="J265" s="90"/>
    </row>
    <row r="266" spans="7:10">
      <c r="G266" s="90"/>
      <c r="H266" s="90"/>
      <c r="I266" s="90"/>
      <c r="J266" s="90"/>
    </row>
    <row r="267" spans="7:10">
      <c r="G267" s="86"/>
      <c r="H267" s="87"/>
      <c r="I267" s="86"/>
      <c r="J267" s="86"/>
    </row>
    <row r="268" spans="7:10">
      <c r="G268" s="87"/>
      <c r="H268" s="87"/>
      <c r="I268" s="86"/>
      <c r="J268" s="86"/>
    </row>
    <row r="269" spans="7:10">
      <c r="G269" s="87"/>
      <c r="H269" s="87"/>
      <c r="I269" s="87"/>
      <c r="J269" s="86"/>
    </row>
    <row r="270" spans="7:10">
      <c r="G270" s="87"/>
      <c r="H270" s="87"/>
      <c r="I270" s="87"/>
      <c r="J270" s="86"/>
    </row>
    <row r="271" spans="7:10">
      <c r="G271" s="87"/>
      <c r="H271" s="87"/>
      <c r="I271" s="87"/>
      <c r="J271" s="86"/>
    </row>
    <row r="272" spans="7:10">
      <c r="G272" s="87"/>
      <c r="H272" s="87"/>
      <c r="I272" s="87"/>
      <c r="J272" s="86"/>
    </row>
    <row r="273" spans="7:10">
      <c r="G273" s="87"/>
      <c r="H273" s="87"/>
      <c r="I273" s="87"/>
      <c r="J273" s="86"/>
    </row>
    <row r="274" spans="7:10">
      <c r="G274" s="87"/>
      <c r="H274" s="87"/>
      <c r="I274" s="87"/>
      <c r="J274" s="86"/>
    </row>
    <row r="275" spans="7:10">
      <c r="G275" s="87"/>
      <c r="H275" s="87"/>
      <c r="I275" s="87"/>
      <c r="J275" s="86"/>
    </row>
    <row r="276" spans="7:10">
      <c r="G276" s="87"/>
      <c r="H276" s="87"/>
      <c r="I276" s="87"/>
      <c r="J276" s="86"/>
    </row>
    <row r="277" spans="7:10">
      <c r="G277" s="87"/>
      <c r="H277" s="86"/>
      <c r="I277" s="87"/>
      <c r="J277" s="86"/>
    </row>
    <row r="278" spans="7:10">
      <c r="G278" s="88"/>
    </row>
    <row r="279" spans="7:10">
      <c r="G279" s="93"/>
    </row>
    <row r="280" spans="7:10">
      <c r="G280" s="88"/>
    </row>
    <row r="281" spans="7:10">
      <c r="G281" s="90"/>
      <c r="H281" s="90"/>
      <c r="I281" s="90"/>
      <c r="J281" s="90"/>
    </row>
    <row r="282" spans="7:10">
      <c r="G282" s="86"/>
      <c r="H282" s="86"/>
      <c r="I282" s="86"/>
      <c r="J282" s="90"/>
    </row>
    <row r="283" spans="7:10">
      <c r="G283" s="90"/>
      <c r="H283" s="90"/>
      <c r="I283" s="90"/>
      <c r="J283" s="90"/>
    </row>
    <row r="284" spans="7:10">
      <c r="G284" s="86"/>
      <c r="H284" s="87"/>
      <c r="I284" s="86"/>
      <c r="J284" s="86"/>
    </row>
    <row r="285" spans="7:10">
      <c r="G285" s="87"/>
      <c r="H285" s="87"/>
      <c r="I285" s="86"/>
      <c r="J285" s="86"/>
    </row>
    <row r="286" spans="7:10">
      <c r="G286" s="87"/>
      <c r="H286" s="87"/>
      <c r="I286" s="87"/>
      <c r="J286" s="86"/>
    </row>
    <row r="287" spans="7:10">
      <c r="G287" s="87"/>
      <c r="H287" s="87"/>
      <c r="I287" s="87"/>
      <c r="J287" s="86"/>
    </row>
    <row r="288" spans="7:10">
      <c r="G288" s="87"/>
      <c r="H288" s="87"/>
      <c r="I288" s="87"/>
      <c r="J288" s="86"/>
    </row>
    <row r="289" spans="7:10">
      <c r="G289" s="87"/>
      <c r="H289" s="87"/>
      <c r="I289" s="87"/>
      <c r="J289" s="86"/>
    </row>
    <row r="290" spans="7:10">
      <c r="G290" s="87"/>
      <c r="H290" s="87"/>
      <c r="I290" s="87"/>
      <c r="J290" s="86"/>
    </row>
    <row r="291" spans="7:10">
      <c r="G291" s="87"/>
      <c r="H291" s="87"/>
      <c r="I291" s="87"/>
      <c r="J291" s="86"/>
    </row>
    <row r="292" spans="7:10">
      <c r="G292" s="87"/>
      <c r="H292" s="87"/>
      <c r="I292" s="87"/>
      <c r="J292" s="86"/>
    </row>
    <row r="293" spans="7:10">
      <c r="G293" s="87"/>
      <c r="H293" s="87"/>
      <c r="I293" s="87"/>
      <c r="J293" s="86"/>
    </row>
    <row r="294" spans="7:10">
      <c r="G294" s="87"/>
      <c r="H294" s="86"/>
      <c r="I294" s="87"/>
      <c r="J294" s="86"/>
    </row>
    <row r="295" spans="7:10">
      <c r="G295" s="88"/>
    </row>
    <row r="296" spans="7:10">
      <c r="G296" s="93"/>
    </row>
    <row r="297" spans="7:10">
      <c r="G297" s="88"/>
    </row>
    <row r="298" spans="7:10">
      <c r="G298" s="90"/>
      <c r="H298" s="90"/>
      <c r="I298" s="90"/>
      <c r="J298" s="90"/>
    </row>
    <row r="299" spans="7:10">
      <c r="G299" s="86"/>
      <c r="H299" s="86"/>
      <c r="I299" s="86"/>
      <c r="J299" s="90"/>
    </row>
    <row r="300" spans="7:10">
      <c r="G300" s="90"/>
      <c r="H300" s="90"/>
      <c r="I300" s="90"/>
      <c r="J300" s="90"/>
    </row>
    <row r="301" spans="7:10">
      <c r="G301" s="86"/>
      <c r="H301" s="87"/>
      <c r="I301" s="86"/>
      <c r="J301" s="86"/>
    </row>
    <row r="302" spans="7:10">
      <c r="G302" s="87"/>
      <c r="H302" s="87"/>
      <c r="I302" s="86"/>
      <c r="J302" s="86"/>
    </row>
    <row r="303" spans="7:10">
      <c r="G303" s="87"/>
      <c r="H303" s="87"/>
      <c r="I303" s="87"/>
      <c r="J303" s="86"/>
    </row>
    <row r="304" spans="7:10">
      <c r="G304" s="87"/>
      <c r="H304" s="87"/>
      <c r="I304" s="87"/>
      <c r="J304" s="86"/>
    </row>
    <row r="305" spans="7:10">
      <c r="G305" s="87"/>
      <c r="H305" s="87"/>
      <c r="I305" s="87"/>
      <c r="J305" s="86"/>
    </row>
    <row r="306" spans="7:10">
      <c r="G306" s="87"/>
      <c r="H306" s="87"/>
      <c r="I306" s="87"/>
      <c r="J306" s="86"/>
    </row>
    <row r="307" spans="7:10">
      <c r="G307" s="87"/>
      <c r="H307" s="87"/>
      <c r="I307" s="87"/>
      <c r="J307" s="86"/>
    </row>
    <row r="308" spans="7:10">
      <c r="G308" s="87"/>
      <c r="H308" s="87"/>
      <c r="I308" s="87"/>
      <c r="J308" s="86"/>
    </row>
    <row r="309" spans="7:10">
      <c r="G309" s="87"/>
      <c r="H309" s="87"/>
      <c r="I309" s="87"/>
      <c r="J309" s="86"/>
    </row>
    <row r="310" spans="7:10">
      <c r="G310" s="87"/>
      <c r="H310" s="87"/>
      <c r="I310" s="87"/>
      <c r="J310" s="86"/>
    </row>
    <row r="311" spans="7:10">
      <c r="G311" s="87"/>
      <c r="H311" s="86"/>
      <c r="I311" s="87"/>
      <c r="J311" s="86"/>
    </row>
    <row r="312" spans="7:10">
      <c r="G312" s="88"/>
    </row>
    <row r="313" spans="7:10">
      <c r="G313" s="91"/>
    </row>
    <row r="314" spans="7:10">
      <c r="G314" s="88"/>
    </row>
    <row r="315" spans="7:10">
      <c r="G315" s="90"/>
      <c r="H315" s="90"/>
      <c r="I315" s="90"/>
      <c r="J315" s="90"/>
    </row>
    <row r="316" spans="7:10">
      <c r="G316" s="86"/>
      <c r="H316" s="86"/>
      <c r="I316" s="86"/>
      <c r="J316" s="90"/>
    </row>
    <row r="317" spans="7:10">
      <c r="G317" s="90"/>
      <c r="H317" s="90"/>
      <c r="I317" s="90"/>
      <c r="J317" s="90"/>
    </row>
    <row r="318" spans="7:10">
      <c r="G318" s="86"/>
      <c r="H318" s="87"/>
      <c r="I318" s="86"/>
      <c r="J318" s="86"/>
    </row>
    <row r="319" spans="7:10">
      <c r="G319" s="87"/>
      <c r="H319" s="87"/>
      <c r="I319" s="86"/>
      <c r="J319" s="86"/>
    </row>
    <row r="320" spans="7:10">
      <c r="G320" s="87"/>
      <c r="H320" s="87"/>
      <c r="I320" s="87"/>
      <c r="J320" s="86"/>
    </row>
    <row r="321" spans="7:10">
      <c r="G321" s="87"/>
      <c r="H321" s="87"/>
      <c r="I321" s="87"/>
      <c r="J321" s="86"/>
    </row>
    <row r="322" spans="7:10">
      <c r="G322" s="87"/>
      <c r="H322" s="87"/>
      <c r="I322" s="87"/>
      <c r="J322" s="86"/>
    </row>
    <row r="323" spans="7:10">
      <c r="G323" s="87"/>
      <c r="H323" s="87"/>
      <c r="I323" s="87"/>
      <c r="J323" s="86"/>
    </row>
    <row r="324" spans="7:10">
      <c r="G324" s="87"/>
      <c r="H324" s="87"/>
      <c r="I324" s="87"/>
      <c r="J324" s="86"/>
    </row>
    <row r="325" spans="7:10">
      <c r="G325" s="87"/>
      <c r="H325" s="87"/>
      <c r="I325" s="87"/>
      <c r="J325" s="86"/>
    </row>
    <row r="326" spans="7:10">
      <c r="G326" s="87"/>
      <c r="H326" s="87"/>
      <c r="I326" s="87"/>
      <c r="J326" s="86"/>
    </row>
    <row r="327" spans="7:10">
      <c r="G327" s="87"/>
      <c r="H327" s="87"/>
      <c r="I327" s="87"/>
      <c r="J327" s="86"/>
    </row>
    <row r="328" spans="7:10">
      <c r="G328" s="87"/>
      <c r="H328" s="86"/>
      <c r="I328" s="87"/>
      <c r="J328" s="86"/>
    </row>
    <row r="329" spans="7:10">
      <c r="G329" s="88"/>
    </row>
    <row r="330" spans="7:10">
      <c r="G330" s="93"/>
    </row>
    <row r="331" spans="7:10">
      <c r="G331" s="88"/>
    </row>
    <row r="332" spans="7:10">
      <c r="G332" s="90"/>
      <c r="H332" s="90"/>
      <c r="I332" s="90"/>
      <c r="J332" s="90"/>
    </row>
    <row r="333" spans="7:10">
      <c r="G333" s="86"/>
      <c r="H333" s="86"/>
      <c r="I333" s="86"/>
      <c r="J333" s="90"/>
    </row>
    <row r="334" spans="7:10">
      <c r="G334" s="90"/>
      <c r="H334" s="90"/>
      <c r="I334" s="90"/>
      <c r="J334" s="90"/>
    </row>
    <row r="335" spans="7:10">
      <c r="G335" s="86"/>
      <c r="H335" s="87"/>
      <c r="I335" s="86"/>
      <c r="J335" s="86"/>
    </row>
    <row r="336" spans="7:10">
      <c r="G336" s="87"/>
      <c r="H336" s="87"/>
      <c r="I336" s="86"/>
      <c r="J336" s="86"/>
    </row>
    <row r="337" spans="7:10">
      <c r="G337" s="87"/>
      <c r="H337" s="87"/>
      <c r="I337" s="87"/>
      <c r="J337" s="86"/>
    </row>
    <row r="338" spans="7:10">
      <c r="G338" s="87"/>
      <c r="H338" s="87"/>
      <c r="I338" s="87"/>
      <c r="J338" s="86"/>
    </row>
    <row r="339" spans="7:10">
      <c r="G339" s="87"/>
      <c r="H339" s="87"/>
      <c r="I339" s="87"/>
      <c r="J339" s="86"/>
    </row>
    <row r="340" spans="7:10">
      <c r="G340" s="87"/>
      <c r="H340" s="87"/>
      <c r="I340" s="87"/>
      <c r="J340" s="86"/>
    </row>
    <row r="341" spans="7:10">
      <c r="G341" s="87"/>
      <c r="H341" s="87"/>
      <c r="I341" s="87"/>
      <c r="J341" s="86"/>
    </row>
    <row r="342" spans="7:10">
      <c r="G342" s="87"/>
      <c r="H342" s="87"/>
      <c r="I342" s="87"/>
      <c r="J342" s="86"/>
    </row>
    <row r="343" spans="7:10">
      <c r="G343" s="87"/>
      <c r="H343" s="87"/>
      <c r="I343" s="87"/>
      <c r="J343" s="86"/>
    </row>
    <row r="344" spans="7:10">
      <c r="G344" s="87"/>
      <c r="H344" s="87"/>
      <c r="I344" s="87"/>
      <c r="J344" s="86"/>
    </row>
    <row r="345" spans="7:10">
      <c r="G345" s="87"/>
      <c r="H345" s="86"/>
      <c r="I345" s="87"/>
      <c r="J345" s="86"/>
    </row>
    <row r="346" spans="7:10">
      <c r="G346" s="88"/>
    </row>
    <row r="347" spans="7:10">
      <c r="G347" s="93"/>
    </row>
    <row r="348" spans="7:10">
      <c r="G348" s="88"/>
    </row>
    <row r="349" spans="7:10">
      <c r="G349" s="90"/>
      <c r="H349" s="90"/>
      <c r="I349" s="90"/>
      <c r="J349" s="90"/>
    </row>
    <row r="350" spans="7:10">
      <c r="G350" s="86"/>
      <c r="H350" s="86"/>
      <c r="I350" s="86"/>
      <c r="J350" s="90"/>
    </row>
    <row r="351" spans="7:10">
      <c r="G351" s="90"/>
      <c r="H351" s="90"/>
      <c r="I351" s="90"/>
      <c r="J351" s="90"/>
    </row>
    <row r="352" spans="7:10">
      <c r="G352" s="86"/>
      <c r="H352" s="87"/>
      <c r="I352" s="86"/>
      <c r="J352" s="86"/>
    </row>
    <row r="353" spans="7:10">
      <c r="G353" s="87"/>
      <c r="H353" s="87"/>
      <c r="I353" s="86"/>
      <c r="J353" s="86"/>
    </row>
    <row r="354" spans="7:10">
      <c r="G354" s="87"/>
      <c r="H354" s="87"/>
      <c r="I354" s="87"/>
      <c r="J354" s="86"/>
    </row>
    <row r="355" spans="7:10">
      <c r="G355" s="87"/>
      <c r="H355" s="87"/>
      <c r="I355" s="87"/>
      <c r="J355" s="86"/>
    </row>
    <row r="356" spans="7:10">
      <c r="G356" s="87"/>
      <c r="H356" s="87"/>
      <c r="I356" s="87"/>
      <c r="J356" s="86"/>
    </row>
    <row r="357" spans="7:10">
      <c r="G357" s="87"/>
      <c r="H357" s="87"/>
      <c r="I357" s="87"/>
      <c r="J357" s="86"/>
    </row>
    <row r="358" spans="7:10">
      <c r="G358" s="87"/>
      <c r="H358" s="87"/>
      <c r="I358" s="87"/>
      <c r="J358" s="86"/>
    </row>
    <row r="359" spans="7:10">
      <c r="G359" s="87"/>
      <c r="H359" s="87"/>
      <c r="I359" s="87"/>
      <c r="J359" s="86"/>
    </row>
    <row r="360" spans="7:10">
      <c r="G360" s="87"/>
      <c r="H360" s="87"/>
      <c r="I360" s="87"/>
      <c r="J360" s="86"/>
    </row>
    <row r="361" spans="7:10">
      <c r="G361" s="87"/>
      <c r="H361" s="87"/>
      <c r="I361" s="87"/>
      <c r="J361" s="86"/>
    </row>
    <row r="362" spans="7:10">
      <c r="G362" s="87"/>
      <c r="H362" s="86"/>
      <c r="I362" s="87"/>
      <c r="J362" s="86"/>
    </row>
    <row r="363" spans="7:10">
      <c r="G363" s="88"/>
    </row>
    <row r="364" spans="7:10" ht="20">
      <c r="G364" s="92"/>
    </row>
    <row r="365" spans="7:10">
      <c r="G365" s="88"/>
    </row>
    <row r="366" spans="7:10">
      <c r="G366" s="91"/>
    </row>
    <row r="367" spans="7:10">
      <c r="G367" s="88"/>
    </row>
    <row r="368" spans="7:10">
      <c r="G368" s="90"/>
      <c r="H368" s="90"/>
      <c r="I368" s="90"/>
      <c r="J368" s="90"/>
    </row>
    <row r="369" spans="7:10">
      <c r="G369" s="86"/>
      <c r="H369" s="86"/>
      <c r="I369" s="86"/>
      <c r="J369" s="90"/>
    </row>
    <row r="370" spans="7:10">
      <c r="G370" s="90"/>
      <c r="H370" s="90"/>
      <c r="I370" s="90"/>
      <c r="J370" s="90"/>
    </row>
    <row r="371" spans="7:10">
      <c r="G371" s="86"/>
      <c r="H371" s="87"/>
      <c r="I371" s="86"/>
      <c r="J371" s="86"/>
    </row>
    <row r="372" spans="7:10">
      <c r="G372" s="87"/>
      <c r="H372" s="87"/>
      <c r="I372" s="86"/>
      <c r="J372" s="86"/>
    </row>
    <row r="373" spans="7:10">
      <c r="G373" s="87"/>
      <c r="H373" s="87"/>
      <c r="I373" s="86"/>
      <c r="J373" s="86"/>
    </row>
    <row r="374" spans="7:10">
      <c r="G374" s="87"/>
      <c r="H374" s="87"/>
      <c r="I374" s="87"/>
      <c r="J374" s="86"/>
    </row>
    <row r="375" spans="7:10">
      <c r="G375" s="87"/>
      <c r="H375" s="87"/>
      <c r="I375" s="87"/>
      <c r="J375" s="86"/>
    </row>
    <row r="376" spans="7:10">
      <c r="G376" s="87"/>
      <c r="H376" s="87"/>
      <c r="I376" s="87"/>
      <c r="J376" s="86"/>
    </row>
    <row r="377" spans="7:10">
      <c r="G377" s="87"/>
      <c r="H377" s="87"/>
      <c r="I377" s="87"/>
      <c r="J377" s="86"/>
    </row>
    <row r="378" spans="7:10">
      <c r="G378" s="87"/>
      <c r="H378" s="87"/>
      <c r="I378" s="87"/>
      <c r="J378" s="86"/>
    </row>
    <row r="379" spans="7:10">
      <c r="G379" s="87"/>
      <c r="H379" s="87"/>
      <c r="I379" s="87"/>
      <c r="J379" s="86"/>
    </row>
    <row r="380" spans="7:10">
      <c r="G380" s="87"/>
      <c r="H380" s="87"/>
      <c r="I380" s="87"/>
      <c r="J380" s="86"/>
    </row>
    <row r="381" spans="7:10">
      <c r="G381" s="87"/>
      <c r="H381" s="86"/>
      <c r="I381" s="87"/>
      <c r="J381" s="86"/>
    </row>
    <row r="382" spans="7:10">
      <c r="G382" s="88"/>
    </row>
    <row r="383" spans="7:10">
      <c r="G383" s="93"/>
    </row>
    <row r="384" spans="7:10">
      <c r="G384" s="88"/>
    </row>
    <row r="385" spans="7:10">
      <c r="G385" s="90"/>
      <c r="H385" s="90"/>
      <c r="I385" s="90"/>
      <c r="J385" s="90"/>
    </row>
    <row r="386" spans="7:10">
      <c r="G386" s="86"/>
      <c r="H386" s="86"/>
      <c r="I386" s="86"/>
      <c r="J386" s="90"/>
    </row>
    <row r="387" spans="7:10">
      <c r="G387" s="90"/>
      <c r="H387" s="90"/>
      <c r="I387" s="90"/>
      <c r="J387" s="90"/>
    </row>
    <row r="388" spans="7:10">
      <c r="G388" s="86"/>
      <c r="H388" s="87"/>
      <c r="I388" s="86"/>
      <c r="J388" s="86"/>
    </row>
    <row r="389" spans="7:10">
      <c r="G389" s="87"/>
      <c r="H389" s="87"/>
      <c r="I389" s="86"/>
      <c r="J389" s="86"/>
    </row>
    <row r="390" spans="7:10">
      <c r="G390" s="87"/>
      <c r="H390" s="87"/>
      <c r="I390" s="87"/>
      <c r="J390" s="86"/>
    </row>
    <row r="391" spans="7:10">
      <c r="G391" s="87"/>
      <c r="H391" s="87"/>
      <c r="I391" s="87"/>
      <c r="J391" s="86"/>
    </row>
    <row r="392" spans="7:10">
      <c r="G392" s="87"/>
      <c r="H392" s="87"/>
      <c r="I392" s="87"/>
      <c r="J392" s="86"/>
    </row>
    <row r="393" spans="7:10">
      <c r="G393" s="87"/>
      <c r="H393" s="87"/>
      <c r="I393" s="87"/>
      <c r="J393" s="86"/>
    </row>
    <row r="394" spans="7:10">
      <c r="G394" s="87"/>
      <c r="H394" s="87"/>
      <c r="I394" s="87"/>
      <c r="J394" s="86"/>
    </row>
    <row r="395" spans="7:10">
      <c r="G395" s="87"/>
      <c r="H395" s="87"/>
      <c r="I395" s="87"/>
      <c r="J395" s="86"/>
    </row>
    <row r="396" spans="7:10">
      <c r="G396" s="87"/>
      <c r="H396" s="87"/>
      <c r="I396" s="87"/>
      <c r="J396" s="86"/>
    </row>
    <row r="397" spans="7:10">
      <c r="G397" s="87"/>
      <c r="H397" s="87"/>
      <c r="I397" s="87"/>
      <c r="J397" s="86"/>
    </row>
    <row r="398" spans="7:10">
      <c r="G398" s="87"/>
      <c r="H398" s="86"/>
      <c r="I398" s="87"/>
      <c r="J398" s="86"/>
    </row>
    <row r="399" spans="7:10">
      <c r="G399" s="88"/>
    </row>
    <row r="400" spans="7:10">
      <c r="G400" s="93"/>
    </row>
    <row r="401" spans="7:10">
      <c r="G401" s="88"/>
    </row>
    <row r="402" spans="7:10">
      <c r="G402" s="90"/>
      <c r="H402" s="90"/>
      <c r="I402" s="90"/>
      <c r="J402" s="90"/>
    </row>
    <row r="403" spans="7:10">
      <c r="G403" s="86"/>
      <c r="H403" s="86"/>
      <c r="I403" s="86"/>
      <c r="J403" s="90"/>
    </row>
    <row r="404" spans="7:10">
      <c r="G404" s="90"/>
      <c r="H404" s="90"/>
      <c r="I404" s="90"/>
      <c r="J404" s="90"/>
    </row>
    <row r="405" spans="7:10">
      <c r="G405" s="86"/>
      <c r="H405" s="87"/>
      <c r="I405" s="86"/>
      <c r="J405" s="86"/>
    </row>
    <row r="406" spans="7:10">
      <c r="G406" s="87"/>
      <c r="H406" s="87"/>
      <c r="I406" s="86"/>
      <c r="J406" s="86"/>
    </row>
    <row r="407" spans="7:10">
      <c r="G407" s="87"/>
      <c r="H407" s="87"/>
      <c r="I407" s="87"/>
      <c r="J407" s="86"/>
    </row>
    <row r="408" spans="7:10">
      <c r="G408" s="87"/>
      <c r="H408" s="87"/>
      <c r="I408" s="87"/>
      <c r="J408" s="86"/>
    </row>
    <row r="409" spans="7:10">
      <c r="G409" s="87"/>
      <c r="H409" s="87"/>
      <c r="I409" s="87"/>
      <c r="J409" s="86"/>
    </row>
    <row r="410" spans="7:10">
      <c r="G410" s="87"/>
      <c r="H410" s="87"/>
      <c r="I410" s="87"/>
      <c r="J410" s="86"/>
    </row>
    <row r="411" spans="7:10">
      <c r="G411" s="87"/>
      <c r="H411" s="87"/>
      <c r="I411" s="87"/>
      <c r="J411" s="86"/>
    </row>
    <row r="412" spans="7:10">
      <c r="G412" s="87"/>
      <c r="H412" s="87"/>
      <c r="I412" s="87"/>
      <c r="J412" s="86"/>
    </row>
    <row r="413" spans="7:10">
      <c r="G413" s="87"/>
      <c r="H413" s="87"/>
      <c r="I413" s="87"/>
      <c r="J413" s="86"/>
    </row>
    <row r="414" spans="7:10">
      <c r="G414" s="87"/>
      <c r="H414" s="87"/>
      <c r="I414" s="87"/>
      <c r="J414" s="86"/>
    </row>
    <row r="415" spans="7:10">
      <c r="G415" s="87"/>
      <c r="H415" s="86"/>
      <c r="I415" s="87"/>
      <c r="J415" s="86"/>
    </row>
    <row r="416" spans="7:10">
      <c r="G416" s="88"/>
    </row>
    <row r="417" spans="7:10">
      <c r="G417" s="93"/>
    </row>
    <row r="418" spans="7:10">
      <c r="G418" s="88"/>
    </row>
    <row r="419" spans="7:10">
      <c r="G419" s="90"/>
      <c r="H419" s="90"/>
      <c r="I419" s="90"/>
      <c r="J419" s="90"/>
    </row>
    <row r="420" spans="7:10">
      <c r="G420" s="86"/>
      <c r="H420" s="86"/>
      <c r="I420" s="86"/>
      <c r="J420" s="90"/>
    </row>
    <row r="421" spans="7:10">
      <c r="G421" s="90"/>
      <c r="H421" s="90"/>
      <c r="I421" s="90"/>
      <c r="J421" s="90"/>
    </row>
    <row r="422" spans="7:10">
      <c r="G422" s="86"/>
      <c r="H422" s="87"/>
      <c r="I422" s="86"/>
      <c r="J422" s="86"/>
    </row>
    <row r="423" spans="7:10">
      <c r="G423" s="87"/>
      <c r="H423" s="87"/>
      <c r="I423" s="86"/>
      <c r="J423" s="86"/>
    </row>
    <row r="424" spans="7:10">
      <c r="G424" s="87"/>
      <c r="H424" s="87"/>
      <c r="I424" s="87"/>
      <c r="J424" s="86"/>
    </row>
    <row r="425" spans="7:10">
      <c r="G425" s="87"/>
      <c r="H425" s="87"/>
      <c r="I425" s="87"/>
      <c r="J425" s="86"/>
    </row>
    <row r="426" spans="7:10">
      <c r="G426" s="87"/>
      <c r="H426" s="87"/>
      <c r="I426" s="87"/>
      <c r="J426" s="86"/>
    </row>
    <row r="427" spans="7:10">
      <c r="G427" s="87"/>
      <c r="H427" s="87"/>
      <c r="I427" s="87"/>
      <c r="J427" s="86"/>
    </row>
    <row r="428" spans="7:10">
      <c r="G428" s="87"/>
      <c r="H428" s="87"/>
      <c r="I428" s="87"/>
      <c r="J428" s="86"/>
    </row>
    <row r="429" spans="7:10">
      <c r="G429" s="87"/>
      <c r="H429" s="87"/>
      <c r="I429" s="87"/>
      <c r="J429" s="86"/>
    </row>
    <row r="430" spans="7:10">
      <c r="G430" s="87"/>
      <c r="H430" s="87"/>
      <c r="I430" s="87"/>
      <c r="J430" s="86"/>
    </row>
    <row r="431" spans="7:10">
      <c r="G431" s="87"/>
      <c r="H431" s="87"/>
      <c r="I431" s="87"/>
      <c r="J431" s="86"/>
    </row>
    <row r="432" spans="7:10">
      <c r="G432" s="87"/>
      <c r="H432" s="86"/>
      <c r="I432" s="87"/>
      <c r="J432" s="86"/>
    </row>
    <row r="433" spans="7:10">
      <c r="G433" s="88"/>
    </row>
    <row r="434" spans="7:10">
      <c r="G434" s="93"/>
    </row>
    <row r="435" spans="7:10">
      <c r="G435" s="88"/>
    </row>
    <row r="436" spans="7:10">
      <c r="G436" s="90"/>
      <c r="H436" s="90"/>
      <c r="I436" s="90"/>
      <c r="J436" s="90"/>
    </row>
    <row r="437" spans="7:10">
      <c r="G437" s="86"/>
      <c r="H437" s="86"/>
      <c r="I437" s="86"/>
      <c r="J437" s="90"/>
    </row>
    <row r="438" spans="7:10">
      <c r="G438" s="90"/>
      <c r="H438" s="90"/>
      <c r="I438" s="90"/>
      <c r="J438" s="90"/>
    </row>
    <row r="439" spans="7:10">
      <c r="G439" s="86"/>
      <c r="H439" s="87"/>
      <c r="I439" s="86"/>
      <c r="J439" s="86"/>
    </row>
    <row r="440" spans="7:10">
      <c r="G440" s="87"/>
      <c r="H440" s="87"/>
      <c r="I440" s="86"/>
      <c r="J440" s="86"/>
    </row>
    <row r="441" spans="7:10">
      <c r="G441" s="87"/>
      <c r="H441" s="87"/>
      <c r="I441" s="87"/>
      <c r="J441" s="86"/>
    </row>
    <row r="442" spans="7:10">
      <c r="G442" s="87"/>
      <c r="H442" s="87"/>
      <c r="I442" s="87"/>
      <c r="J442" s="86"/>
    </row>
    <row r="443" spans="7:10">
      <c r="G443" s="87"/>
      <c r="H443" s="87"/>
      <c r="I443" s="87"/>
      <c r="J443" s="86"/>
    </row>
    <row r="444" spans="7:10">
      <c r="G444" s="87"/>
      <c r="H444" s="87"/>
      <c r="I444" s="87"/>
      <c r="J444" s="86"/>
    </row>
    <row r="445" spans="7:10">
      <c r="G445" s="87"/>
      <c r="H445" s="87"/>
      <c r="I445" s="87"/>
      <c r="J445" s="86"/>
    </row>
    <row r="446" spans="7:10">
      <c r="G446" s="87"/>
      <c r="H446" s="87"/>
      <c r="I446" s="87"/>
      <c r="J446" s="86"/>
    </row>
    <row r="447" spans="7:10">
      <c r="G447" s="87"/>
      <c r="H447" s="87"/>
      <c r="I447" s="87"/>
      <c r="J447" s="86"/>
    </row>
    <row r="448" spans="7:10">
      <c r="G448" s="87"/>
      <c r="H448" s="87"/>
      <c r="I448" s="87"/>
      <c r="J448" s="86"/>
    </row>
    <row r="449" spans="7:10">
      <c r="G449" s="87"/>
      <c r="H449" s="86"/>
      <c r="I449" s="87"/>
      <c r="J449" s="86"/>
    </row>
    <row r="450" spans="7:10">
      <c r="G450" s="88"/>
    </row>
    <row r="451" spans="7:10">
      <c r="G451" s="93"/>
    </row>
    <row r="452" spans="7:10">
      <c r="G452" s="88"/>
    </row>
    <row r="453" spans="7:10">
      <c r="G453" s="90"/>
      <c r="H453" s="90"/>
      <c r="I453" s="90"/>
      <c r="J453" s="90"/>
    </row>
    <row r="454" spans="7:10">
      <c r="G454" s="86"/>
      <c r="H454" s="86"/>
      <c r="I454" s="86"/>
      <c r="J454" s="90"/>
    </row>
    <row r="455" spans="7:10">
      <c r="G455" s="90"/>
      <c r="H455" s="90"/>
      <c r="I455" s="90"/>
      <c r="J455" s="90"/>
    </row>
    <row r="456" spans="7:10">
      <c r="G456" s="86"/>
      <c r="H456" s="87"/>
      <c r="I456" s="86"/>
      <c r="J456" s="86"/>
    </row>
    <row r="457" spans="7:10">
      <c r="G457" s="87"/>
      <c r="H457" s="87"/>
      <c r="I457" s="86"/>
      <c r="J457" s="86"/>
    </row>
    <row r="458" spans="7:10">
      <c r="G458" s="87"/>
      <c r="H458" s="87"/>
      <c r="I458" s="87"/>
      <c r="J458" s="86"/>
    </row>
    <row r="459" spans="7:10">
      <c r="G459" s="87"/>
      <c r="H459" s="87"/>
      <c r="I459" s="87"/>
      <c r="J459" s="86"/>
    </row>
    <row r="460" spans="7:10">
      <c r="G460" s="87"/>
      <c r="H460" s="87"/>
      <c r="I460" s="87"/>
      <c r="J460" s="86"/>
    </row>
    <row r="461" spans="7:10">
      <c r="G461" s="87"/>
      <c r="H461" s="87"/>
      <c r="I461" s="87"/>
      <c r="J461" s="86"/>
    </row>
    <row r="462" spans="7:10">
      <c r="G462" s="87"/>
      <c r="H462" s="87"/>
      <c r="I462" s="87"/>
      <c r="J462" s="86"/>
    </row>
    <row r="463" spans="7:10">
      <c r="G463" s="87"/>
      <c r="H463" s="87"/>
      <c r="I463" s="87"/>
      <c r="J463" s="86"/>
    </row>
    <row r="464" spans="7:10">
      <c r="G464" s="87"/>
      <c r="H464" s="87"/>
      <c r="I464" s="87"/>
      <c r="J464" s="86"/>
    </row>
    <row r="465" spans="7:10">
      <c r="G465" s="87"/>
      <c r="H465" s="87"/>
      <c r="I465" s="87"/>
      <c r="J465" s="86"/>
    </row>
    <row r="466" spans="7:10">
      <c r="G466" s="87"/>
      <c r="H466" s="86"/>
      <c r="I466" s="87"/>
      <c r="J466" s="86"/>
    </row>
    <row r="467" spans="7:10">
      <c r="G467" s="88"/>
    </row>
    <row r="468" spans="7:10" ht="20">
      <c r="G468" s="92"/>
    </row>
    <row r="469" spans="7:10">
      <c r="G469" s="88"/>
    </row>
    <row r="470" spans="7:10">
      <c r="G470" s="91"/>
    </row>
    <row r="471" spans="7:10">
      <c r="G471" s="88"/>
    </row>
    <row r="472" spans="7:10">
      <c r="G472" s="90"/>
      <c r="H472" s="90"/>
      <c r="I472" s="90"/>
      <c r="J472" s="90"/>
    </row>
    <row r="473" spans="7:10">
      <c r="G473" s="86"/>
      <c r="H473" s="86"/>
      <c r="I473" s="86"/>
      <c r="J473" s="90"/>
    </row>
    <row r="474" spans="7:10">
      <c r="G474" s="90"/>
      <c r="H474" s="90"/>
      <c r="I474" s="90"/>
      <c r="J474" s="90"/>
    </row>
    <row r="475" spans="7:10">
      <c r="G475" s="86"/>
      <c r="H475" s="86"/>
      <c r="I475" s="86"/>
      <c r="J475" s="86"/>
    </row>
    <row r="476" spans="7:10">
      <c r="G476" s="86"/>
      <c r="H476" s="87"/>
      <c r="I476" s="86"/>
      <c r="J476" s="86"/>
    </row>
    <row r="477" spans="7:10">
      <c r="G477" s="87"/>
      <c r="H477" s="87"/>
      <c r="I477" s="86"/>
      <c r="J477" s="86"/>
    </row>
    <row r="478" spans="7:10">
      <c r="G478" s="87"/>
      <c r="H478" s="87"/>
      <c r="I478" s="86"/>
      <c r="J478" s="86"/>
    </row>
    <row r="479" spans="7:10">
      <c r="G479" s="87"/>
      <c r="H479" s="87"/>
      <c r="I479" s="86"/>
      <c r="J479" s="86"/>
    </row>
    <row r="480" spans="7:10">
      <c r="G480" s="87"/>
      <c r="H480" s="87"/>
      <c r="I480" s="87"/>
      <c r="J480" s="86"/>
    </row>
    <row r="481" spans="7:10">
      <c r="G481" s="87"/>
      <c r="H481" s="87"/>
      <c r="I481" s="87"/>
      <c r="J481" s="86"/>
    </row>
    <row r="482" spans="7:10">
      <c r="G482" s="87"/>
      <c r="H482" s="87"/>
      <c r="I482" s="87"/>
      <c r="J482" s="86"/>
    </row>
    <row r="483" spans="7:10">
      <c r="G483" s="87"/>
      <c r="H483" s="87"/>
      <c r="I483" s="87"/>
      <c r="J483" s="86"/>
    </row>
    <row r="484" spans="7:10">
      <c r="G484" s="87"/>
      <c r="H484" s="87"/>
      <c r="I484" s="87"/>
      <c r="J484" s="86"/>
    </row>
    <row r="485" spans="7:10">
      <c r="G485" s="87"/>
      <c r="H485" s="86"/>
      <c r="I485" s="87"/>
      <c r="J485" s="86"/>
    </row>
    <row r="486" spans="7:10">
      <c r="G486" s="88"/>
    </row>
    <row r="487" spans="7:10">
      <c r="G487" s="93"/>
    </row>
    <row r="488" spans="7:10">
      <c r="G488" s="88"/>
    </row>
    <row r="489" spans="7:10">
      <c r="G489" s="90"/>
      <c r="H489" s="90"/>
      <c r="I489" s="90"/>
      <c r="J489" s="90"/>
    </row>
    <row r="490" spans="7:10">
      <c r="G490" s="86"/>
      <c r="H490" s="86"/>
      <c r="I490" s="86"/>
      <c r="J490" s="90"/>
    </row>
    <row r="491" spans="7:10">
      <c r="G491" s="90"/>
      <c r="H491" s="90"/>
      <c r="I491" s="90"/>
      <c r="J491" s="90"/>
    </row>
    <row r="492" spans="7:10">
      <c r="G492" s="86"/>
      <c r="H492" s="87"/>
      <c r="I492" s="86"/>
      <c r="J492" s="86"/>
    </row>
    <row r="493" spans="7:10">
      <c r="G493" s="87"/>
      <c r="H493" s="87"/>
      <c r="I493" s="86"/>
      <c r="J493" s="86"/>
    </row>
    <row r="494" spans="7:10">
      <c r="G494" s="87"/>
      <c r="H494" s="87"/>
      <c r="I494" s="86"/>
      <c r="J494" s="86"/>
    </row>
    <row r="495" spans="7:10">
      <c r="G495" s="87"/>
      <c r="H495" s="87"/>
      <c r="I495" s="87"/>
      <c r="J495" s="86"/>
    </row>
    <row r="496" spans="7:10">
      <c r="G496" s="87"/>
      <c r="H496" s="87"/>
      <c r="I496" s="87"/>
      <c r="J496" s="86"/>
    </row>
    <row r="497" spans="7:10">
      <c r="G497" s="87"/>
      <c r="H497" s="87"/>
      <c r="I497" s="87"/>
      <c r="J497" s="86"/>
    </row>
    <row r="498" spans="7:10">
      <c r="G498" s="87"/>
      <c r="H498" s="87"/>
      <c r="I498" s="87"/>
      <c r="J498" s="86"/>
    </row>
    <row r="499" spans="7:10">
      <c r="G499" s="87"/>
      <c r="H499" s="87"/>
      <c r="I499" s="87"/>
      <c r="J499" s="86"/>
    </row>
    <row r="500" spans="7:10">
      <c r="G500" s="87"/>
      <c r="H500" s="87"/>
      <c r="I500" s="87"/>
      <c r="J500" s="86"/>
    </row>
    <row r="501" spans="7:10">
      <c r="G501" s="87"/>
      <c r="H501" s="87"/>
      <c r="I501" s="87"/>
      <c r="J501" s="86"/>
    </row>
    <row r="502" spans="7:10">
      <c r="G502" s="87"/>
      <c r="H502" s="86"/>
      <c r="I502" s="87"/>
      <c r="J502" s="86"/>
    </row>
    <row r="503" spans="7:10">
      <c r="G503" s="88"/>
    </row>
    <row r="504" spans="7:10" ht="20">
      <c r="G504" s="92"/>
    </row>
    <row r="505" spans="7:10">
      <c r="G505" s="88"/>
    </row>
    <row r="506" spans="7:10">
      <c r="G506" s="93"/>
    </row>
    <row r="507" spans="7:10">
      <c r="G507" s="88"/>
    </row>
    <row r="508" spans="7:10">
      <c r="G508" s="90"/>
      <c r="H508" s="90"/>
      <c r="I508" s="90"/>
      <c r="J508" s="90"/>
    </row>
    <row r="509" spans="7:10">
      <c r="G509" s="86"/>
      <c r="H509" s="86"/>
      <c r="I509" s="86"/>
      <c r="J509" s="90"/>
    </row>
    <row r="510" spans="7:10">
      <c r="G510" s="90"/>
      <c r="H510" s="90"/>
      <c r="I510" s="90"/>
      <c r="J510" s="90"/>
    </row>
    <row r="511" spans="7:10">
      <c r="G511" s="86"/>
      <c r="H511" s="87"/>
      <c r="I511" s="86"/>
      <c r="J511" s="86"/>
    </row>
    <row r="512" spans="7:10">
      <c r="G512" s="87"/>
      <c r="H512" s="87"/>
      <c r="I512" s="86"/>
      <c r="J512" s="86"/>
    </row>
    <row r="513" spans="7:10">
      <c r="G513" s="87"/>
      <c r="H513" s="87"/>
      <c r="I513" s="87"/>
      <c r="J513" s="86"/>
    </row>
    <row r="514" spans="7:10">
      <c r="G514" s="87"/>
      <c r="H514" s="87"/>
      <c r="I514" s="87"/>
      <c r="J514" s="86"/>
    </row>
    <row r="515" spans="7:10">
      <c r="G515" s="87"/>
      <c r="H515" s="87"/>
      <c r="I515" s="87"/>
      <c r="J515" s="86"/>
    </row>
    <row r="516" spans="7:10">
      <c r="G516" s="87"/>
      <c r="H516" s="87"/>
      <c r="I516" s="87"/>
      <c r="J516" s="86"/>
    </row>
    <row r="517" spans="7:10">
      <c r="G517" s="87"/>
      <c r="H517" s="87"/>
      <c r="I517" s="87"/>
      <c r="J517" s="86"/>
    </row>
    <row r="518" spans="7:10">
      <c r="G518" s="87"/>
      <c r="H518" s="87"/>
      <c r="I518" s="87"/>
      <c r="J518" s="86"/>
    </row>
    <row r="519" spans="7:10">
      <c r="G519" s="87"/>
      <c r="H519" s="87"/>
      <c r="I519" s="87"/>
      <c r="J519" s="86"/>
    </row>
    <row r="520" spans="7:10">
      <c r="G520" s="87"/>
      <c r="H520" s="87"/>
      <c r="I520" s="87"/>
      <c r="J520" s="86"/>
    </row>
    <row r="521" spans="7:10">
      <c r="G521" s="87"/>
      <c r="H521" s="86"/>
      <c r="I521" s="87"/>
      <c r="J521" s="86"/>
    </row>
    <row r="522" spans="7:10">
      <c r="G522" s="88"/>
    </row>
    <row r="523" spans="7:10">
      <c r="G523" s="93"/>
    </row>
    <row r="524" spans="7:10">
      <c r="G524" s="88"/>
    </row>
    <row r="525" spans="7:10">
      <c r="G525" s="90"/>
      <c r="H525" s="90"/>
      <c r="I525" s="90"/>
      <c r="J525" s="90"/>
    </row>
    <row r="526" spans="7:10">
      <c r="G526" s="86"/>
      <c r="H526" s="86"/>
      <c r="I526" s="86"/>
      <c r="J526" s="90"/>
    </row>
    <row r="527" spans="7:10">
      <c r="G527" s="90"/>
      <c r="H527" s="90"/>
      <c r="I527" s="90"/>
      <c r="J527" s="90"/>
    </row>
    <row r="528" spans="7:10">
      <c r="G528" s="86"/>
      <c r="H528" s="87"/>
      <c r="I528" s="86"/>
      <c r="J528" s="86"/>
    </row>
    <row r="529" spans="7:10">
      <c r="G529" s="87"/>
      <c r="H529" s="87"/>
      <c r="I529" s="86"/>
      <c r="J529" s="86"/>
    </row>
    <row r="530" spans="7:10">
      <c r="G530" s="87"/>
      <c r="H530" s="87"/>
      <c r="I530" s="87"/>
      <c r="J530" s="86"/>
    </row>
    <row r="531" spans="7:10">
      <c r="G531" s="87"/>
      <c r="H531" s="87"/>
      <c r="I531" s="87"/>
      <c r="J531" s="86"/>
    </row>
    <row r="532" spans="7:10">
      <c r="G532" s="87"/>
      <c r="H532" s="87"/>
      <c r="I532" s="87"/>
      <c r="J532" s="86"/>
    </row>
    <row r="533" spans="7:10">
      <c r="G533" s="87"/>
      <c r="H533" s="87"/>
      <c r="I533" s="87"/>
      <c r="J533" s="86"/>
    </row>
    <row r="534" spans="7:10">
      <c r="G534" s="87"/>
      <c r="H534" s="87"/>
      <c r="I534" s="87"/>
      <c r="J534" s="86"/>
    </row>
    <row r="535" spans="7:10">
      <c r="G535" s="87"/>
      <c r="H535" s="87"/>
      <c r="I535" s="87"/>
      <c r="J535" s="86"/>
    </row>
    <row r="536" spans="7:10">
      <c r="G536" s="87"/>
      <c r="H536" s="87"/>
      <c r="I536" s="87"/>
      <c r="J536" s="86"/>
    </row>
    <row r="537" spans="7:10">
      <c r="G537" s="87"/>
      <c r="H537" s="87"/>
      <c r="I537" s="87"/>
      <c r="J537" s="86"/>
    </row>
    <row r="538" spans="7:10">
      <c r="G538" s="87"/>
      <c r="H538" s="86"/>
      <c r="I538" s="87"/>
      <c r="J538" s="86"/>
    </row>
    <row r="540" spans="7:10">
      <c r="G540" s="88"/>
    </row>
    <row r="541" spans="7:10">
      <c r="G541" s="94"/>
    </row>
    <row r="542" spans="7:10">
      <c r="G542" s="88"/>
    </row>
    <row r="543" spans="7:10">
      <c r="G543" s="95"/>
    </row>
    <row r="544" spans="7:10">
      <c r="G544" s="88"/>
    </row>
    <row r="545" spans="7:7">
      <c r="G545" s="95"/>
    </row>
    <row r="546" spans="7:7">
      <c r="G546" s="95"/>
    </row>
    <row r="547" spans="7:7">
      <c r="G547" s="95"/>
    </row>
    <row r="548" spans="7:7">
      <c r="G548" s="95"/>
    </row>
    <row r="549" spans="7:7">
      <c r="G549" s="96"/>
    </row>
    <row r="550" spans="7:7">
      <c r="G550" s="96"/>
    </row>
    <row r="551" spans="7:7">
      <c r="G551" s="88"/>
    </row>
    <row r="552" spans="7:7">
      <c r="G552" s="88"/>
    </row>
    <row r="553" spans="7:7">
      <c r="G553" s="97"/>
    </row>
    <row r="554" spans="7:7" ht="15.5">
      <c r="G554" s="98"/>
    </row>
    <row r="555" spans="7:7">
      <c r="G555" s="99"/>
    </row>
    <row r="556" spans="7:7">
      <c r="G556" s="100"/>
    </row>
    <row r="557" spans="7:7">
      <c r="G557" s="99"/>
    </row>
    <row r="558" spans="7:7">
      <c r="G558" s="100"/>
    </row>
    <row r="559" spans="7:7">
      <c r="G559" s="99"/>
    </row>
    <row r="560" spans="7:7" ht="15.5">
      <c r="G560" s="98"/>
    </row>
    <row r="561" spans="7:7">
      <c r="G561" s="99"/>
    </row>
    <row r="562" spans="7:7">
      <c r="G562" s="100"/>
    </row>
    <row r="563" spans="7:7">
      <c r="G563" s="99"/>
    </row>
    <row r="564" spans="7:7">
      <c r="G564" s="100"/>
    </row>
    <row r="565" spans="7:7">
      <c r="G565" s="99"/>
    </row>
    <row r="566" spans="7:7">
      <c r="G566" s="88"/>
    </row>
    <row r="567" spans="7:7">
      <c r="G567" s="91"/>
    </row>
    <row r="568" spans="7:7">
      <c r="G568" s="102"/>
    </row>
    <row r="570" spans="7:7">
      <c r="G570" s="102"/>
    </row>
    <row r="571" spans="7:7">
      <c r="G571" s="101"/>
    </row>
    <row r="572" spans="7:7">
      <c r="G572" s="101"/>
    </row>
    <row r="573" spans="7:7">
      <c r="G573" s="101"/>
    </row>
    <row r="574" spans="7:7">
      <c r="G574" s="101"/>
    </row>
    <row r="575" spans="7:7">
      <c r="G575" s="103"/>
    </row>
    <row r="576" spans="7:7">
      <c r="G576" s="102"/>
    </row>
    <row r="577" spans="7:7">
      <c r="G577" s="102"/>
    </row>
    <row r="578" spans="7:7">
      <c r="G578" s="101"/>
    </row>
    <row r="579" spans="7:7">
      <c r="G579" s="101"/>
    </row>
    <row r="580" spans="7:7">
      <c r="G580" s="101"/>
    </row>
    <row r="581" spans="7:7">
      <c r="G581" s="101"/>
    </row>
    <row r="582" spans="7:7">
      <c r="G582" s="103"/>
    </row>
    <row r="583" spans="7:7">
      <c r="G583" s="102"/>
    </row>
    <row r="584" spans="7:7">
      <c r="G584" s="102"/>
    </row>
    <row r="585" spans="7:7">
      <c r="G585" s="101"/>
    </row>
    <row r="586" spans="7:7">
      <c r="G586" s="101"/>
    </row>
    <row r="587" spans="7:7">
      <c r="G587" s="101"/>
    </row>
    <row r="588" spans="7:7">
      <c r="G588" s="101"/>
    </row>
    <row r="589" spans="7:7">
      <c r="G589" s="103"/>
    </row>
    <row r="590" spans="7:7">
      <c r="G590" s="102"/>
    </row>
    <row r="591" spans="7:7">
      <c r="G591" s="102"/>
    </row>
    <row r="592" spans="7:7">
      <c r="G592" s="101"/>
    </row>
    <row r="593" spans="7:7">
      <c r="G593" s="101"/>
    </row>
    <row r="594" spans="7:7">
      <c r="G594" s="101"/>
    </row>
    <row r="595" spans="7:7">
      <c r="G595" s="101"/>
    </row>
    <row r="596" spans="7:7">
      <c r="G596" s="103"/>
    </row>
    <row r="597" spans="7:7">
      <c r="G597" s="102"/>
    </row>
    <row r="598" spans="7:7">
      <c r="G598" s="102"/>
    </row>
    <row r="599" spans="7:7">
      <c r="G599" s="101"/>
    </row>
    <row r="600" spans="7:7">
      <c r="G600" s="101"/>
    </row>
    <row r="601" spans="7:7">
      <c r="G601" s="101"/>
    </row>
    <row r="602" spans="7:7">
      <c r="G602" s="101"/>
    </row>
    <row r="603" spans="7:7">
      <c r="G603" s="103"/>
    </row>
    <row r="604" spans="7:7">
      <c r="G604" s="101"/>
    </row>
    <row r="605" spans="7:7">
      <c r="G605" s="104"/>
    </row>
    <row r="606" spans="7:7">
      <c r="G606" s="105"/>
    </row>
    <row r="607" spans="7:7">
      <c r="G607" s="106"/>
    </row>
    <row r="608" spans="7:7">
      <c r="G608" s="105"/>
    </row>
    <row r="609" spans="7:7">
      <c r="G609" s="107"/>
    </row>
    <row r="610" spans="7:7">
      <c r="G610" s="108"/>
    </row>
  </sheetData>
  <mergeCells count="118">
    <mergeCell ref="G257:G258"/>
    <mergeCell ref="H257:H258"/>
    <mergeCell ref="I257:I258"/>
    <mergeCell ref="J257:J258"/>
    <mergeCell ref="G259:G260"/>
    <mergeCell ref="H259:H260"/>
    <mergeCell ref="I259:I260"/>
    <mergeCell ref="J259:J260"/>
    <mergeCell ref="G253:G254"/>
    <mergeCell ref="H253:H254"/>
    <mergeCell ref="I253:I254"/>
    <mergeCell ref="J253:J254"/>
    <mergeCell ref="G255:G256"/>
    <mergeCell ref="H255:H256"/>
    <mergeCell ref="I255:I256"/>
    <mergeCell ref="J255:J256"/>
    <mergeCell ref="G249:G250"/>
    <mergeCell ref="H249:H250"/>
    <mergeCell ref="I249:I250"/>
    <mergeCell ref="J249:J250"/>
    <mergeCell ref="G251:G252"/>
    <mergeCell ref="H251:H252"/>
    <mergeCell ref="I251:I252"/>
    <mergeCell ref="J251:J252"/>
    <mergeCell ref="G245:G246"/>
    <mergeCell ref="H245:H246"/>
    <mergeCell ref="I245:I246"/>
    <mergeCell ref="J245:J246"/>
    <mergeCell ref="G247:G248"/>
    <mergeCell ref="H247:H248"/>
    <mergeCell ref="I247:I248"/>
    <mergeCell ref="J247:J248"/>
    <mergeCell ref="G241:G242"/>
    <mergeCell ref="H241:H242"/>
    <mergeCell ref="I241:I242"/>
    <mergeCell ref="J241:J242"/>
    <mergeCell ref="G243:G244"/>
    <mergeCell ref="H243:H244"/>
    <mergeCell ref="I243:I244"/>
    <mergeCell ref="J243:J244"/>
    <mergeCell ref="G237:G238"/>
    <mergeCell ref="H237:H238"/>
    <mergeCell ref="I237:I238"/>
    <mergeCell ref="J237:J238"/>
    <mergeCell ref="G239:G240"/>
    <mergeCell ref="H239:H240"/>
    <mergeCell ref="I239:I240"/>
    <mergeCell ref="J239:J240"/>
    <mergeCell ref="G233:G234"/>
    <mergeCell ref="H233:H234"/>
    <mergeCell ref="I233:I234"/>
    <mergeCell ref="J233:J234"/>
    <mergeCell ref="G235:G236"/>
    <mergeCell ref="H235:H236"/>
    <mergeCell ref="I235:I236"/>
    <mergeCell ref="J235:J236"/>
    <mergeCell ref="G139:G140"/>
    <mergeCell ref="H139:H140"/>
    <mergeCell ref="I139:I140"/>
    <mergeCell ref="J139:J140"/>
    <mergeCell ref="G141:G142"/>
    <mergeCell ref="H141:H142"/>
    <mergeCell ref="I141:I142"/>
    <mergeCell ref="J141:J142"/>
    <mergeCell ref="G135:G136"/>
    <mergeCell ref="H135:H136"/>
    <mergeCell ref="I135:I136"/>
    <mergeCell ref="J135:J136"/>
    <mergeCell ref="G137:G138"/>
    <mergeCell ref="H137:H138"/>
    <mergeCell ref="I137:I138"/>
    <mergeCell ref="J137:J138"/>
    <mergeCell ref="G131:G132"/>
    <mergeCell ref="H131:H132"/>
    <mergeCell ref="I131:I132"/>
    <mergeCell ref="J131:J132"/>
    <mergeCell ref="G133:G134"/>
    <mergeCell ref="H133:H134"/>
    <mergeCell ref="I133:I134"/>
    <mergeCell ref="J133:J134"/>
    <mergeCell ref="G127:G128"/>
    <mergeCell ref="H127:H128"/>
    <mergeCell ref="I127:I128"/>
    <mergeCell ref="J127:J128"/>
    <mergeCell ref="G129:G130"/>
    <mergeCell ref="H129:H130"/>
    <mergeCell ref="I129:I130"/>
    <mergeCell ref="J129:J130"/>
    <mergeCell ref="G123:G124"/>
    <mergeCell ref="H123:H124"/>
    <mergeCell ref="I123:I124"/>
    <mergeCell ref="J123:J124"/>
    <mergeCell ref="G125:G126"/>
    <mergeCell ref="H125:H126"/>
    <mergeCell ref="I125:I126"/>
    <mergeCell ref="J125:J126"/>
    <mergeCell ref="G121:G122"/>
    <mergeCell ref="H121:H122"/>
    <mergeCell ref="I121:I122"/>
    <mergeCell ref="J121:J122"/>
    <mergeCell ref="G69:I69"/>
    <mergeCell ref="G115:G116"/>
    <mergeCell ref="H115:H116"/>
    <mergeCell ref="I115:I116"/>
    <mergeCell ref="J115:J116"/>
    <mergeCell ref="G117:G118"/>
    <mergeCell ref="H117:H118"/>
    <mergeCell ref="I117:I118"/>
    <mergeCell ref="J117:J118"/>
    <mergeCell ref="B2:E2"/>
    <mergeCell ref="B30:E30"/>
    <mergeCell ref="G16:I16"/>
    <mergeCell ref="G2:J2"/>
    <mergeCell ref="B16:D16"/>
    <mergeCell ref="G119:G120"/>
    <mergeCell ref="H119:H120"/>
    <mergeCell ref="I119:I120"/>
    <mergeCell ref="J119:J120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1275" r:id="rId4" name="Control 11">
          <controlPr defaultSize="0" r:id="rId5">
            <anchor moveWithCells="1">
              <from>
                <xdr:col>6</xdr:col>
                <xdr:colOff>0</xdr:colOff>
                <xdr:row>547</xdr:row>
                <xdr:rowOff>0</xdr:rowOff>
              </from>
              <to>
                <xdr:col>6</xdr:col>
                <xdr:colOff>666750</xdr:colOff>
                <xdr:row>548</xdr:row>
                <xdr:rowOff>63500</xdr:rowOff>
              </to>
            </anchor>
          </controlPr>
        </control>
      </mc:Choice>
      <mc:Fallback>
        <control shapeId="11275" r:id="rId4" name="Control 11"/>
      </mc:Fallback>
    </mc:AlternateContent>
    <mc:AlternateContent xmlns:mc="http://schemas.openxmlformats.org/markup-compatibility/2006">
      <mc:Choice Requires="x14">
        <control shapeId="11274" r:id="rId6" name="Control 10">
          <controlPr defaultSize="0" r:id="rId7">
            <anchor moveWithCells="1">
              <from>
                <xdr:col>6</xdr:col>
                <xdr:colOff>0</xdr:colOff>
                <xdr:row>546</xdr:row>
                <xdr:rowOff>0</xdr:rowOff>
              </from>
              <to>
                <xdr:col>7</xdr:col>
                <xdr:colOff>152400</xdr:colOff>
                <xdr:row>547</xdr:row>
                <xdr:rowOff>44450</xdr:rowOff>
              </to>
            </anchor>
          </controlPr>
        </control>
      </mc:Choice>
      <mc:Fallback>
        <control shapeId="11274" r:id="rId6" name="Control 10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9C442-2988-4260-ACEA-B1F20988200F}">
  <dimension ref="B2:H64"/>
  <sheetViews>
    <sheetView topLeftCell="A43" zoomScale="120" zoomScaleNormal="120" workbookViewId="0">
      <selection activeCell="C44" sqref="C44"/>
    </sheetView>
  </sheetViews>
  <sheetFormatPr baseColWidth="10" defaultColWidth="11.54296875" defaultRowHeight="14.5"/>
  <cols>
    <col min="1" max="1" width="11.54296875" style="7"/>
    <col min="2" max="2" width="29.453125" style="7" customWidth="1"/>
    <col min="3" max="3" width="11.54296875" style="7"/>
    <col min="4" max="4" width="29" style="7" bestFit="1" customWidth="1"/>
    <col min="5" max="16384" width="11.54296875" style="7"/>
  </cols>
  <sheetData>
    <row r="2" spans="2:4">
      <c r="B2" s="63" t="s">
        <v>231</v>
      </c>
      <c r="C2" s="110" t="s">
        <v>168</v>
      </c>
    </row>
    <row r="3" spans="2:4">
      <c r="B3" s="7" t="s">
        <v>232</v>
      </c>
      <c r="C3" s="7">
        <v>12000</v>
      </c>
    </row>
    <row r="4" spans="2:4">
      <c r="B4" s="7" t="s">
        <v>120</v>
      </c>
      <c r="C4" s="7">
        <v>6000</v>
      </c>
    </row>
    <row r="5" spans="2:4">
      <c r="B5" s="7" t="s">
        <v>233</v>
      </c>
      <c r="C5" s="7">
        <v>2000</v>
      </c>
    </row>
    <row r="6" spans="2:4">
      <c r="B6" s="7" t="s">
        <v>234</v>
      </c>
      <c r="C6" s="7">
        <v>0</v>
      </c>
    </row>
    <row r="7" spans="2:4">
      <c r="B7" s="7" t="s">
        <v>235</v>
      </c>
      <c r="C7" s="7">
        <f>SUM(C3:C6)</f>
        <v>20000</v>
      </c>
    </row>
    <row r="8" spans="2:4">
      <c r="B8" s="63" t="s">
        <v>236</v>
      </c>
    </row>
    <row r="9" spans="2:4">
      <c r="B9" s="7" t="str">
        <f>+B4</f>
        <v>Aguinaldo</v>
      </c>
      <c r="C9" s="7">
        <f>30*UMA</f>
        <v>2688.6000000000004</v>
      </c>
    </row>
    <row r="10" spans="2:4">
      <c r="B10" s="7" t="str">
        <f t="shared" ref="B10:B11" si="0">+B5</f>
        <v>Prima vacacional</v>
      </c>
      <c r="C10" s="7">
        <f>15*UMA</f>
        <v>1344.3000000000002</v>
      </c>
    </row>
    <row r="11" spans="2:4">
      <c r="B11" s="7" t="str">
        <f t="shared" si="0"/>
        <v>Pagos por separación</v>
      </c>
      <c r="C11" s="7">
        <v>0</v>
      </c>
    </row>
    <row r="12" spans="2:4">
      <c r="B12" s="7" t="s">
        <v>237</v>
      </c>
      <c r="C12" s="7">
        <f>SUM(C9:C11)</f>
        <v>4032.9000000000005</v>
      </c>
    </row>
    <row r="13" spans="2:4">
      <c r="B13" s="63" t="s">
        <v>238</v>
      </c>
      <c r="C13" s="63">
        <f>+C7-C12</f>
        <v>15967.099999999999</v>
      </c>
    </row>
    <row r="14" spans="2:4">
      <c r="B14" s="7" t="s">
        <v>239</v>
      </c>
      <c r="C14" s="7">
        <f>VLOOKUP(C13,ISRM,1,1)</f>
        <v>13381.48</v>
      </c>
      <c r="D14" s="11" t="s">
        <v>247</v>
      </c>
    </row>
    <row r="15" spans="2:4">
      <c r="B15" s="7" t="s">
        <v>240</v>
      </c>
      <c r="C15" s="7">
        <f>+C13-C14</f>
        <v>2585.619999999999</v>
      </c>
      <c r="D15" s="11" t="s">
        <v>248</v>
      </c>
    </row>
    <row r="16" spans="2:4">
      <c r="B16" s="7" t="s">
        <v>241</v>
      </c>
      <c r="C16" s="53">
        <f>VLOOKUP(C13,ISRM,4,1)</f>
        <v>0.21359999999999998</v>
      </c>
      <c r="D16" s="11" t="s">
        <v>249</v>
      </c>
    </row>
    <row r="17" spans="2:7">
      <c r="B17" s="7" t="s">
        <v>242</v>
      </c>
      <c r="C17" s="7">
        <f>+C16*C15</f>
        <v>552.28843199999972</v>
      </c>
      <c r="D17" s="11" t="s">
        <v>251</v>
      </c>
    </row>
    <row r="18" spans="2:7">
      <c r="B18" s="7" t="s">
        <v>209</v>
      </c>
      <c r="C18" s="7">
        <f>VLOOKUP(C13,ISRM,3,1)</f>
        <v>1417.12</v>
      </c>
      <c r="D18" s="11" t="s">
        <v>250</v>
      </c>
    </row>
    <row r="19" spans="2:7">
      <c r="B19" s="66" t="s">
        <v>243</v>
      </c>
      <c r="C19" s="66">
        <f>+C17+C18</f>
        <v>1969.4084319999997</v>
      </c>
      <c r="D19" s="11" t="s">
        <v>252</v>
      </c>
    </row>
    <row r="20" spans="2:7">
      <c r="B20" s="7" t="s">
        <v>244</v>
      </c>
      <c r="C20" s="7">
        <f>VLOOKUP(C13,SUBSIDIOM,3,1)</f>
        <v>0</v>
      </c>
      <c r="D20" s="11" t="s">
        <v>253</v>
      </c>
    </row>
    <row r="21" spans="2:7">
      <c r="B21" s="7" t="s">
        <v>245</v>
      </c>
      <c r="C21" s="7">
        <f>IF(C19&gt;C20,C19-C20,0)</f>
        <v>1969.4084319999997</v>
      </c>
      <c r="D21" s="11" t="s">
        <v>254</v>
      </c>
    </row>
    <row r="22" spans="2:7">
      <c r="B22" s="7" t="s">
        <v>246</v>
      </c>
      <c r="C22" s="7">
        <f>IF(C20&gt;C19,C20-C19,0)</f>
        <v>0</v>
      </c>
      <c r="D22" s="11" t="s">
        <v>255</v>
      </c>
    </row>
    <row r="26" spans="2:7">
      <c r="F26" s="66">
        <f>+C27-F27</f>
        <v>29557.59757575758</v>
      </c>
    </row>
    <row r="27" spans="2:7">
      <c r="B27" s="7" t="s">
        <v>238</v>
      </c>
      <c r="C27" s="7">
        <v>109557.59757575758</v>
      </c>
      <c r="D27" s="7" t="s">
        <v>36</v>
      </c>
      <c r="E27" s="7">
        <v>2000</v>
      </c>
      <c r="F27" s="7">
        <v>80000</v>
      </c>
      <c r="G27" s="7">
        <v>10000</v>
      </c>
    </row>
    <row r="28" spans="2:7">
      <c r="B28" s="7" t="s">
        <v>239</v>
      </c>
      <c r="C28" s="7">
        <f>VLOOKUP(C27,ISRM,1,1)</f>
        <v>108281.68</v>
      </c>
      <c r="D28" s="66" t="s">
        <v>411</v>
      </c>
      <c r="E28" s="66">
        <f>+C27/E27</f>
        <v>54.778798787878792</v>
      </c>
      <c r="F28" s="7">
        <f>VLOOKUP(F27,ISRM,1,1)</f>
        <v>42537.59</v>
      </c>
      <c r="G28" s="7">
        <f>VLOOKUP(G27,ISRM,1,1)</f>
        <v>9614.67</v>
      </c>
    </row>
    <row r="29" spans="2:7">
      <c r="B29" s="7" t="s">
        <v>240</v>
      </c>
      <c r="C29" s="7">
        <f>+C27-C28</f>
        <v>1275.9175757575867</v>
      </c>
      <c r="F29" s="7">
        <f>+F27-F28</f>
        <v>37462.410000000003</v>
      </c>
      <c r="G29" s="7">
        <f>+G27-G28</f>
        <v>385.32999999999993</v>
      </c>
    </row>
    <row r="30" spans="2:7">
      <c r="B30" s="7" t="s">
        <v>241</v>
      </c>
      <c r="C30" s="53">
        <f>VLOOKUP(C27,ISRM,4,1)</f>
        <v>0.34</v>
      </c>
      <c r="F30" s="53">
        <f>VLOOKUP(F27,ISRM,4,1)</f>
        <v>0.3</v>
      </c>
      <c r="G30" s="53">
        <f>VLOOKUP(G27,ISRM,4,1)</f>
        <v>0.16</v>
      </c>
    </row>
    <row r="31" spans="2:7">
      <c r="B31" s="7" t="s">
        <v>242</v>
      </c>
      <c r="C31" s="7">
        <f>+C30*C29</f>
        <v>433.81197575757955</v>
      </c>
      <c r="F31" s="7">
        <f>+F30*F29</f>
        <v>11238.723</v>
      </c>
      <c r="G31" s="7">
        <f>+G30*G29</f>
        <v>61.652799999999992</v>
      </c>
    </row>
    <row r="32" spans="2:7">
      <c r="B32" s="7" t="s">
        <v>209</v>
      </c>
      <c r="C32" s="7">
        <f>VLOOKUP(C27,ISRM,3,1)</f>
        <v>28245.360000000001</v>
      </c>
      <c r="F32" s="7">
        <f>VLOOKUP(F27,ISRM,3,1)</f>
        <v>7980.73</v>
      </c>
      <c r="G32" s="7">
        <f>VLOOKUP(G27,ISRM,3,1)</f>
        <v>772.1</v>
      </c>
    </row>
    <row r="33" spans="2:8">
      <c r="B33" s="66" t="s">
        <v>243</v>
      </c>
      <c r="C33" s="66">
        <f>+C31+C32</f>
        <v>28679.171975757581</v>
      </c>
      <c r="F33" s="66">
        <f>+F31+F32</f>
        <v>19219.453000000001</v>
      </c>
      <c r="G33" s="66">
        <f>+G31+G32</f>
        <v>833.75279999999998</v>
      </c>
    </row>
    <row r="34" spans="2:8">
      <c r="B34" s="7" t="s">
        <v>244</v>
      </c>
      <c r="C34" s="7">
        <f>VLOOKUP(C27,SUBSIDIOM,3,1)</f>
        <v>0</v>
      </c>
      <c r="F34" s="7">
        <f>VLOOKUP(F27,SUBSIDIOM,3,1)</f>
        <v>0</v>
      </c>
      <c r="G34" s="7">
        <f>VLOOKUP(G27,SUBSIDIOM,3,1)</f>
        <v>0</v>
      </c>
    </row>
    <row r="35" spans="2:8">
      <c r="B35" s="7" t="s">
        <v>245</v>
      </c>
      <c r="C35" s="66">
        <f>IF(C33&gt;C34,C33-C34,0)</f>
        <v>28679.171975757581</v>
      </c>
      <c r="F35" s="63">
        <f>IF(F33&gt;F34,F33-F34,0)</f>
        <v>19219.453000000001</v>
      </c>
      <c r="G35" s="66">
        <f>IF(G33&gt;G34,G33-G34,0)</f>
        <v>833.75279999999998</v>
      </c>
      <c r="H35" s="7" t="s">
        <v>56</v>
      </c>
    </row>
    <row r="36" spans="2:8">
      <c r="B36" s="7" t="s">
        <v>246</v>
      </c>
      <c r="C36" s="7">
        <f>IF(C34&gt;C33,C34-C33,0)</f>
        <v>0</v>
      </c>
      <c r="F36" s="7">
        <f>IF(F34&gt;F33,F34-F33,0)</f>
        <v>0</v>
      </c>
      <c r="G36" s="7">
        <f>IF(G34&gt;G33,G34-G33,0)</f>
        <v>0</v>
      </c>
    </row>
    <row r="37" spans="2:8">
      <c r="B37" s="7" t="s">
        <v>409</v>
      </c>
      <c r="C37" s="7">
        <f>+C27-C35</f>
        <v>80878.425600000002</v>
      </c>
      <c r="F37" s="7">
        <f>+F27-F35</f>
        <v>60780.546999999999</v>
      </c>
      <c r="G37" s="7">
        <f>+G27-G35</f>
        <v>9166.2471999999998</v>
      </c>
    </row>
    <row r="38" spans="2:8">
      <c r="B38" s="7" t="s">
        <v>410</v>
      </c>
      <c r="C38" s="7">
        <f>80000-C37</f>
        <v>-878.42560000000231</v>
      </c>
    </row>
    <row r="42" spans="2:8">
      <c r="B42" s="7" t="s">
        <v>238</v>
      </c>
      <c r="C42" s="7">
        <v>30000</v>
      </c>
      <c r="E42" s="7">
        <v>36850.614979079495</v>
      </c>
    </row>
    <row r="43" spans="2:8">
      <c r="B43" s="7" t="s">
        <v>239</v>
      </c>
      <c r="C43" s="7">
        <f>VLOOKUP(C42,ISRM,1,1)</f>
        <v>26988.51</v>
      </c>
      <c r="E43" s="7">
        <f>+C42+C48</f>
        <v>35031.882448000004</v>
      </c>
    </row>
    <row r="44" spans="2:8">
      <c r="B44" s="7" t="s">
        <v>240</v>
      </c>
      <c r="C44" s="7">
        <f>+C42-C43</f>
        <v>3011.4900000000016</v>
      </c>
      <c r="E44" s="7">
        <f>+E42-E43</f>
        <v>1818.7325310794913</v>
      </c>
    </row>
    <row r="45" spans="2:8">
      <c r="B45" s="7" t="s">
        <v>241</v>
      </c>
      <c r="C45" s="53">
        <f>VLOOKUP(C42,ISRM,4,1)</f>
        <v>0.23519999999999999</v>
      </c>
    </row>
    <row r="46" spans="2:8">
      <c r="B46" s="7" t="s">
        <v>242</v>
      </c>
      <c r="C46" s="7">
        <f>+C45*C44</f>
        <v>708.30244800000037</v>
      </c>
      <c r="D46" s="7" t="s">
        <v>415</v>
      </c>
      <c r="F46" s="7" t="s">
        <v>416</v>
      </c>
    </row>
    <row r="47" spans="2:8">
      <c r="B47" s="7" t="s">
        <v>209</v>
      </c>
      <c r="C47" s="7">
        <f>VLOOKUP(C42,ISRM,3,1)</f>
        <v>4323.58</v>
      </c>
      <c r="D47" s="7" t="s">
        <v>232</v>
      </c>
      <c r="E47" s="7">
        <f>+C42</f>
        <v>30000</v>
      </c>
      <c r="F47" s="7" t="s">
        <v>417</v>
      </c>
      <c r="G47" s="7">
        <f>+C48</f>
        <v>5031.8824480000003</v>
      </c>
    </row>
    <row r="48" spans="2:8">
      <c r="B48" s="66" t="s">
        <v>243</v>
      </c>
      <c r="C48" s="66">
        <f>+C46+C47</f>
        <v>5031.8824480000003</v>
      </c>
      <c r="D48" s="7" t="s">
        <v>420</v>
      </c>
      <c r="E48" s="7">
        <f>+C48</f>
        <v>5031.8824480000003</v>
      </c>
      <c r="H48" s="7" t="s">
        <v>421</v>
      </c>
    </row>
    <row r="49" spans="2:8">
      <c r="B49" s="7" t="s">
        <v>244</v>
      </c>
      <c r="C49" s="7">
        <f>VLOOKUP(C42,SUBSIDIOM,3,1)</f>
        <v>0</v>
      </c>
      <c r="D49" s="7" t="s">
        <v>235</v>
      </c>
      <c r="E49" s="7">
        <f>SUM(E47:E48)</f>
        <v>35031.882448000004</v>
      </c>
      <c r="F49" s="7" t="s">
        <v>419</v>
      </c>
      <c r="G49" s="7">
        <f>SUM(G47:G48)</f>
        <v>5031.8824480000003</v>
      </c>
      <c r="H49" s="7" t="s">
        <v>422</v>
      </c>
    </row>
    <row r="50" spans="2:8">
      <c r="B50" s="7" t="s">
        <v>245</v>
      </c>
      <c r="C50" s="66">
        <f>IF(C48&gt;C49,C48-C49,0)</f>
        <v>5031.8824480000003</v>
      </c>
      <c r="H50" s="7" t="s">
        <v>423</v>
      </c>
    </row>
    <row r="51" spans="2:8">
      <c r="B51" s="7" t="s">
        <v>413</v>
      </c>
      <c r="C51" s="7">
        <v>30000</v>
      </c>
      <c r="F51" s="7" t="s">
        <v>418</v>
      </c>
      <c r="G51" s="7">
        <f>+E49-G49</f>
        <v>30000.000000000004</v>
      </c>
      <c r="H51" s="7" t="s">
        <v>424</v>
      </c>
    </row>
    <row r="52" spans="2:8">
      <c r="B52" s="7" t="s">
        <v>195</v>
      </c>
      <c r="C52" s="7">
        <f>+C42-C50</f>
        <v>24968.117552</v>
      </c>
      <c r="H52" s="7" t="s">
        <v>425</v>
      </c>
    </row>
    <row r="53" spans="2:8">
      <c r="B53" s="7" t="s">
        <v>414</v>
      </c>
      <c r="C53" s="7">
        <f>+C51-C52</f>
        <v>5031.8824480000003</v>
      </c>
    </row>
    <row r="58" spans="2:8">
      <c r="B58" s="7" t="s">
        <v>426</v>
      </c>
      <c r="C58" s="7">
        <v>33566.433566433567</v>
      </c>
    </row>
    <row r="59" spans="2:8">
      <c r="B59" s="7" t="s">
        <v>427</v>
      </c>
      <c r="C59" s="7">
        <f>+C58*16%</f>
        <v>5370.6293706293709</v>
      </c>
    </row>
    <row r="60" spans="2:8">
      <c r="B60" s="7" t="s">
        <v>327</v>
      </c>
      <c r="C60" s="7">
        <f>+C58*0.1</f>
        <v>3356.643356643357</v>
      </c>
    </row>
    <row r="61" spans="2:8">
      <c r="B61" s="7" t="s">
        <v>428</v>
      </c>
      <c r="C61" s="7">
        <f>+C59/3*2</f>
        <v>3580.4195804195806</v>
      </c>
    </row>
    <row r="62" spans="2:8">
      <c r="B62" s="63" t="s">
        <v>429</v>
      </c>
      <c r="C62" s="63">
        <f>+C58+C59-C60-C61</f>
        <v>32000.000000000004</v>
      </c>
    </row>
    <row r="63" spans="2:8">
      <c r="B63" s="7" t="s">
        <v>430</v>
      </c>
      <c r="C63" s="7">
        <v>32000</v>
      </c>
    </row>
    <row r="64" spans="2:8">
      <c r="B64" s="7" t="s">
        <v>414</v>
      </c>
      <c r="C64" s="7">
        <f>+C62-C63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2EDA-7FF6-49E4-BCED-FA420AEBDB1E}">
  <dimension ref="D2:L27"/>
  <sheetViews>
    <sheetView topLeftCell="D1" zoomScale="150" zoomScaleNormal="150" workbookViewId="0">
      <selection activeCell="G10" sqref="G10:G11"/>
    </sheetView>
  </sheetViews>
  <sheetFormatPr baseColWidth="10" defaultColWidth="11.54296875" defaultRowHeight="14.5"/>
  <cols>
    <col min="1" max="3" width="11.54296875" style="7"/>
    <col min="4" max="4" width="17.453125" style="7" customWidth="1"/>
    <col min="5" max="6" width="11.54296875" style="7"/>
    <col min="7" max="7" width="17.81640625" style="7" bestFit="1" customWidth="1"/>
    <col min="8" max="8" width="11.54296875" style="7"/>
    <col min="9" max="9" width="17.81640625" style="7" bestFit="1" customWidth="1"/>
    <col min="10" max="10" width="11.54296875" style="7"/>
    <col min="11" max="11" width="17.81640625" style="7" bestFit="1" customWidth="1"/>
    <col min="12" max="16384" width="11.54296875" style="7"/>
  </cols>
  <sheetData>
    <row r="2" spans="4:12">
      <c r="D2" s="7" t="s">
        <v>431</v>
      </c>
      <c r="E2" s="7">
        <v>2500</v>
      </c>
      <c r="H2" s="7" t="s">
        <v>105</v>
      </c>
      <c r="I2" s="7">
        <v>400</v>
      </c>
      <c r="K2" s="7" t="s">
        <v>243</v>
      </c>
      <c r="L2" s="7">
        <v>444.58</v>
      </c>
    </row>
    <row r="3" spans="4:12">
      <c r="D3" s="7" t="s">
        <v>246</v>
      </c>
      <c r="E3" s="7">
        <v>9.75</v>
      </c>
      <c r="H3" s="7" t="s">
        <v>434</v>
      </c>
      <c r="I3" s="7">
        <v>150</v>
      </c>
    </row>
    <row r="4" spans="4:12">
      <c r="D4" s="7" t="s">
        <v>432</v>
      </c>
      <c r="F4" s="7">
        <v>100</v>
      </c>
      <c r="K4" s="7" t="s">
        <v>105</v>
      </c>
      <c r="L4" s="7">
        <v>2500</v>
      </c>
    </row>
    <row r="5" spans="4:12">
      <c r="D5" s="7" t="s">
        <v>433</v>
      </c>
      <c r="F5" s="7">
        <f>+E2+E3-F4</f>
        <v>2409.75</v>
      </c>
      <c r="K5" s="7" t="s">
        <v>435</v>
      </c>
      <c r="L5" s="7">
        <v>150.6</v>
      </c>
    </row>
    <row r="6" spans="4:12">
      <c r="K6" s="7" t="s">
        <v>436</v>
      </c>
      <c r="L6" s="7">
        <v>160.35</v>
      </c>
    </row>
    <row r="7" spans="4:12">
      <c r="D7" s="7" t="s">
        <v>431</v>
      </c>
      <c r="E7" s="7">
        <v>4900</v>
      </c>
      <c r="K7" s="7" t="s">
        <v>246</v>
      </c>
      <c r="L7" s="7">
        <f>+L6-L5</f>
        <v>9.75</v>
      </c>
    </row>
    <row r="8" spans="4:12">
      <c r="D8" s="7" t="s">
        <v>440</v>
      </c>
      <c r="F8" s="7">
        <v>150</v>
      </c>
    </row>
    <row r="9" spans="4:12">
      <c r="D9" s="7" t="s">
        <v>441</v>
      </c>
      <c r="F9" s="7">
        <f>+L10</f>
        <v>444.58</v>
      </c>
      <c r="G9" s="7">
        <f>+F9+F10</f>
        <v>595.17999999999995</v>
      </c>
      <c r="K9" s="7" t="s">
        <v>105</v>
      </c>
      <c r="L9" s="7">
        <v>4900</v>
      </c>
    </row>
    <row r="10" spans="4:12">
      <c r="D10" s="7" t="s">
        <v>442</v>
      </c>
      <c r="F10" s="129">
        <f>+J24</f>
        <v>150.6</v>
      </c>
      <c r="G10" s="164">
        <f>+F10+F11</f>
        <v>160.35</v>
      </c>
      <c r="K10" s="7" t="s">
        <v>243</v>
      </c>
      <c r="L10" s="7">
        <v>444.58</v>
      </c>
    </row>
    <row r="11" spans="4:12">
      <c r="D11" s="7" t="s">
        <v>443</v>
      </c>
      <c r="F11" s="130">
        <f>+J25</f>
        <v>9.75</v>
      </c>
      <c r="G11" s="165"/>
      <c r="K11" s="7" t="s">
        <v>436</v>
      </c>
      <c r="L11" s="7">
        <v>0</v>
      </c>
    </row>
    <row r="12" spans="4:12">
      <c r="D12" s="7" t="s">
        <v>433</v>
      </c>
      <c r="F12" s="7">
        <f>+H27</f>
        <v>4145.0700000000006</v>
      </c>
      <c r="K12" s="7" t="s">
        <v>246</v>
      </c>
      <c r="L12" s="7">
        <v>0</v>
      </c>
    </row>
    <row r="13" spans="4:12">
      <c r="E13" s="7">
        <f>SUM(E7:E11)</f>
        <v>4900</v>
      </c>
      <c r="F13" s="7">
        <f>SUM(F8:F12)</f>
        <v>4900.0000000000009</v>
      </c>
      <c r="H13" s="7" t="s">
        <v>437</v>
      </c>
      <c r="I13" s="7" t="s">
        <v>438</v>
      </c>
      <c r="J13" s="7" t="s">
        <v>26</v>
      </c>
    </row>
    <row r="14" spans="4:12">
      <c r="G14" s="7" t="s">
        <v>105</v>
      </c>
      <c r="H14" s="7">
        <v>2500</v>
      </c>
      <c r="I14" s="7">
        <v>4900</v>
      </c>
      <c r="J14" s="7">
        <f>+I14+H14</f>
        <v>7400</v>
      </c>
      <c r="K14" s="9" t="s">
        <v>439</v>
      </c>
    </row>
    <row r="15" spans="4:12">
      <c r="G15" s="7" t="s">
        <v>435</v>
      </c>
      <c r="H15" s="7">
        <v>150.6</v>
      </c>
      <c r="I15" s="7">
        <v>444.58</v>
      </c>
    </row>
    <row r="16" spans="4:12">
      <c r="G16" s="7" t="s">
        <v>436</v>
      </c>
      <c r="H16" s="7">
        <v>160.35</v>
      </c>
      <c r="I16" s="7">
        <v>0</v>
      </c>
    </row>
    <row r="17" spans="7:11">
      <c r="G17" s="7" t="s">
        <v>246</v>
      </c>
      <c r="H17" s="7">
        <f>+H16-H15</f>
        <v>9.75</v>
      </c>
      <c r="I17" s="7">
        <v>0</v>
      </c>
    </row>
    <row r="19" spans="7:11">
      <c r="G19" s="138" t="s">
        <v>415</v>
      </c>
      <c r="H19" s="138"/>
      <c r="I19" s="138" t="s">
        <v>416</v>
      </c>
      <c r="J19" s="138"/>
    </row>
    <row r="20" spans="7:11">
      <c r="G20" s="7" t="s">
        <v>105</v>
      </c>
      <c r="H20" s="7">
        <f>+L9</f>
        <v>4900</v>
      </c>
      <c r="I20" s="7" t="s">
        <v>434</v>
      </c>
      <c r="J20" s="7">
        <v>150</v>
      </c>
    </row>
    <row r="21" spans="7:11">
      <c r="I21" s="7" t="s">
        <v>243</v>
      </c>
      <c r="J21" s="7">
        <v>444.58</v>
      </c>
    </row>
    <row r="22" spans="7:11" ht="16">
      <c r="I22" s="112" t="s">
        <v>436</v>
      </c>
      <c r="J22" s="9">
        <v>160.35</v>
      </c>
      <c r="K22" s="7" t="s">
        <v>243</v>
      </c>
    </row>
    <row r="23" spans="7:11">
      <c r="K23" s="7" t="s">
        <v>333</v>
      </c>
    </row>
    <row r="24" spans="7:11">
      <c r="G24" s="121" t="s">
        <v>243</v>
      </c>
      <c r="H24" s="122">
        <f>+J24</f>
        <v>150.6</v>
      </c>
      <c r="I24" s="125" t="s">
        <v>243</v>
      </c>
      <c r="J24" s="126">
        <f>+H15</f>
        <v>150.6</v>
      </c>
    </row>
    <row r="25" spans="7:11">
      <c r="G25" s="123" t="s">
        <v>246</v>
      </c>
      <c r="H25" s="124">
        <f>+J25</f>
        <v>9.75</v>
      </c>
      <c r="I25" s="127" t="s">
        <v>246</v>
      </c>
      <c r="J25" s="128">
        <f>+H17</f>
        <v>9.75</v>
      </c>
    </row>
    <row r="26" spans="7:11">
      <c r="H26" s="7">
        <f>SUM(H20:H25)</f>
        <v>5060.3500000000004</v>
      </c>
      <c r="J26" s="7">
        <f>SUM(J20:J25)</f>
        <v>915.28</v>
      </c>
    </row>
    <row r="27" spans="7:11">
      <c r="H27" s="9">
        <f>+H26-J26</f>
        <v>4145.0700000000006</v>
      </c>
    </row>
  </sheetData>
  <mergeCells count="3">
    <mergeCell ref="G19:H19"/>
    <mergeCell ref="I19:J19"/>
    <mergeCell ref="G10:G1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997CC-A8C0-4674-9F2C-4575347F7810}">
  <dimension ref="B2:K57"/>
  <sheetViews>
    <sheetView zoomScale="120" zoomScaleNormal="120" workbookViewId="0">
      <pane xSplit="2" ySplit="2" topLeftCell="C41" activePane="bottomRight" state="frozen"/>
      <selection pane="topRight" activeCell="C1" sqref="C1"/>
      <selection pane="bottomLeft" activeCell="A3" sqref="A3"/>
      <selection pane="bottomRight" activeCell="D50" sqref="D50"/>
    </sheetView>
  </sheetViews>
  <sheetFormatPr baseColWidth="10" defaultColWidth="11.54296875" defaultRowHeight="14.5"/>
  <cols>
    <col min="1" max="1" width="11.54296875" style="7"/>
    <col min="2" max="2" width="29.453125" style="7" customWidth="1"/>
    <col min="3" max="3" width="11.54296875" style="7"/>
    <col min="4" max="4" width="10.453125" style="7" bestFit="1" customWidth="1"/>
    <col min="5" max="5" width="5.36328125" style="111" customWidth="1"/>
    <col min="6" max="6" width="11.54296875" style="7"/>
    <col min="7" max="7" width="5.36328125" style="111" customWidth="1"/>
    <col min="8" max="16384" width="11.54296875" style="7"/>
  </cols>
  <sheetData>
    <row r="2" spans="2:8">
      <c r="B2" s="63" t="s">
        <v>231</v>
      </c>
      <c r="C2" s="110" t="s">
        <v>168</v>
      </c>
      <c r="D2" s="110" t="s">
        <v>168</v>
      </c>
      <c r="F2" s="110" t="s">
        <v>256</v>
      </c>
      <c r="H2" s="110" t="s">
        <v>257</v>
      </c>
    </row>
    <row r="3" spans="2:8">
      <c r="B3" s="7" t="s">
        <v>232</v>
      </c>
      <c r="C3" s="7">
        <v>12000</v>
      </c>
      <c r="D3" s="7">
        <v>5000</v>
      </c>
      <c r="F3" s="7">
        <v>2500</v>
      </c>
      <c r="H3" s="7">
        <v>60000</v>
      </c>
    </row>
    <row r="4" spans="2:8">
      <c r="B4" s="7" t="s">
        <v>120</v>
      </c>
      <c r="C4" s="7">
        <v>6000</v>
      </c>
      <c r="D4" s="7">
        <v>0</v>
      </c>
      <c r="F4" s="7">
        <v>0</v>
      </c>
      <c r="H4" s="7">
        <v>0</v>
      </c>
    </row>
    <row r="5" spans="2:8">
      <c r="B5" s="7" t="s">
        <v>233</v>
      </c>
      <c r="C5" s="7">
        <v>2000</v>
      </c>
      <c r="D5" s="7">
        <v>0</v>
      </c>
      <c r="F5" s="7">
        <v>0</v>
      </c>
      <c r="H5" s="7">
        <v>0</v>
      </c>
    </row>
    <row r="6" spans="2:8">
      <c r="B6" s="7" t="s">
        <v>234</v>
      </c>
      <c r="C6" s="7">
        <v>0</v>
      </c>
      <c r="D6" s="7">
        <v>0</v>
      </c>
      <c r="F6" s="7">
        <v>0</v>
      </c>
      <c r="H6" s="7">
        <v>0</v>
      </c>
    </row>
    <row r="7" spans="2:8">
      <c r="B7" s="7" t="s">
        <v>235</v>
      </c>
      <c r="C7" s="7">
        <f>SUM(C3:C6)</f>
        <v>20000</v>
      </c>
      <c r="D7" s="7">
        <f>SUM(D3:D6)</f>
        <v>5000</v>
      </c>
      <c r="F7" s="7">
        <f>SUM(F3:F6)</f>
        <v>2500</v>
      </c>
      <c r="H7" s="7">
        <f>SUM(H3:H6)</f>
        <v>60000</v>
      </c>
    </row>
    <row r="8" spans="2:8">
      <c r="B8" s="63" t="s">
        <v>236</v>
      </c>
    </row>
    <row r="9" spans="2:8">
      <c r="B9" s="7" t="str">
        <f>+B4</f>
        <v>Aguinaldo</v>
      </c>
      <c r="C9" s="7">
        <f>30*UMA</f>
        <v>2688.6000000000004</v>
      </c>
      <c r="D9" s="7">
        <v>0</v>
      </c>
      <c r="F9" s="7">
        <v>0</v>
      </c>
      <c r="H9" s="7">
        <v>0</v>
      </c>
    </row>
    <row r="10" spans="2:8">
      <c r="B10" s="7" t="str">
        <f t="shared" ref="B10:B11" si="0">+B5</f>
        <v>Prima vacacional</v>
      </c>
      <c r="C10" s="7">
        <f>15*UMA</f>
        <v>1344.3000000000002</v>
      </c>
      <c r="D10" s="7">
        <v>0</v>
      </c>
      <c r="F10" s="7">
        <v>0</v>
      </c>
      <c r="H10" s="7">
        <v>0</v>
      </c>
    </row>
    <row r="11" spans="2:8">
      <c r="B11" s="7" t="str">
        <f t="shared" si="0"/>
        <v>Pagos por separación</v>
      </c>
      <c r="C11" s="7">
        <v>0</v>
      </c>
      <c r="D11" s="7">
        <v>0</v>
      </c>
      <c r="F11" s="7">
        <v>0</v>
      </c>
      <c r="H11" s="7">
        <v>0</v>
      </c>
    </row>
    <row r="12" spans="2:8">
      <c r="B12" s="7" t="s">
        <v>237</v>
      </c>
      <c r="C12" s="7">
        <f>SUM(C9:C11)</f>
        <v>4032.9000000000005</v>
      </c>
      <c r="D12" s="7">
        <f>SUM(D9:D11)</f>
        <v>0</v>
      </c>
      <c r="F12" s="7">
        <f>SUM(F9:F11)</f>
        <v>0</v>
      </c>
      <c r="H12" s="7">
        <f>SUM(H9:H11)</f>
        <v>0</v>
      </c>
    </row>
    <row r="13" spans="2:8">
      <c r="B13" s="63" t="s">
        <v>238</v>
      </c>
      <c r="C13" s="63">
        <f>+C7-C12</f>
        <v>15967.099999999999</v>
      </c>
      <c r="D13" s="63">
        <f>+D7-D12</f>
        <v>5000</v>
      </c>
      <c r="F13" s="63">
        <f>+F7-F12</f>
        <v>2500</v>
      </c>
      <c r="H13" s="63">
        <f>+H7-H12</f>
        <v>60000</v>
      </c>
    </row>
    <row r="14" spans="2:8">
      <c r="B14" s="7" t="s">
        <v>239</v>
      </c>
      <c r="C14" s="7">
        <f>VLOOKUP(C13,ISRM,1,1)</f>
        <v>13381.48</v>
      </c>
      <c r="D14" s="7">
        <f>VLOOKUP(D13,ISRM,1,1)</f>
        <v>644.59</v>
      </c>
      <c r="F14" s="7">
        <f>VLOOKUP(F13,ISRQ,1,1)</f>
        <v>318.05427631578954</v>
      </c>
      <c r="H14" s="7">
        <f>VLOOKUP(H13,ISRA,1,1)</f>
        <v>7739.3207236842118</v>
      </c>
    </row>
    <row r="15" spans="2:8">
      <c r="B15" s="7" t="s">
        <v>240</v>
      </c>
      <c r="C15" s="7">
        <f>+C13-C14</f>
        <v>2585.619999999999</v>
      </c>
      <c r="D15" s="7">
        <f>+D13-D14</f>
        <v>4355.41</v>
      </c>
      <c r="F15" s="7">
        <f>+F13-F14</f>
        <v>2181.9457236842104</v>
      </c>
      <c r="H15" s="7">
        <f>+H13-H14</f>
        <v>52260.679276315786</v>
      </c>
    </row>
    <row r="16" spans="2:8">
      <c r="B16" s="7" t="s">
        <v>241</v>
      </c>
      <c r="C16" s="53">
        <f>VLOOKUP(C13,ISRM,4,1)</f>
        <v>0.21359999999999998</v>
      </c>
      <c r="D16" s="53">
        <f>VLOOKUP(D13,ISRM,4,1)</f>
        <v>6.4000000000000001E-2</v>
      </c>
      <c r="F16" s="53">
        <f>VLOOKUP(F13,ISRQ,4,1)</f>
        <v>6.4000000000000001E-2</v>
      </c>
      <c r="H16" s="53">
        <f>VLOOKUP(H13,ISRA,4,1)</f>
        <v>6.4000000000000001E-2</v>
      </c>
    </row>
    <row r="17" spans="2:8">
      <c r="B17" s="7" t="s">
        <v>242</v>
      </c>
      <c r="C17" s="7">
        <f>+C16*C15</f>
        <v>552.28843199999972</v>
      </c>
      <c r="D17" s="7">
        <f>+D16*D15</f>
        <v>278.74624</v>
      </c>
      <c r="F17" s="7">
        <f>+F16*F15</f>
        <v>139.64452631578948</v>
      </c>
      <c r="H17" s="7">
        <f>+H16*H15</f>
        <v>3344.6834736842102</v>
      </c>
    </row>
    <row r="18" spans="2:8">
      <c r="B18" s="7" t="s">
        <v>209</v>
      </c>
      <c r="C18" s="7">
        <f>VLOOKUP(C13,ISRM,3,1)</f>
        <v>1417.12</v>
      </c>
      <c r="D18" s="7">
        <f>VLOOKUP(D13,ISRM,3,1)</f>
        <v>12.38</v>
      </c>
      <c r="F18" s="7">
        <f>VLOOKUP(F13,ISRQ,3,1)</f>
        <v>6.1085526315789487</v>
      </c>
      <c r="H18" s="7">
        <f>VLOOKUP(H13,ISRA,3,1)</f>
        <v>148.64144736842107</v>
      </c>
    </row>
    <row r="19" spans="2:8">
      <c r="B19" s="66" t="s">
        <v>243</v>
      </c>
      <c r="C19" s="66">
        <f>+C17+C18</f>
        <v>1969.4084319999997</v>
      </c>
      <c r="D19" s="66">
        <f>+D17+D18</f>
        <v>291.12624</v>
      </c>
      <c r="F19" s="66">
        <f>+F17+F18</f>
        <v>145.75307894736844</v>
      </c>
      <c r="H19" s="66">
        <f>+H17+H18</f>
        <v>3493.3249210526315</v>
      </c>
    </row>
    <row r="20" spans="2:8">
      <c r="B20" s="7" t="s">
        <v>244</v>
      </c>
      <c r="C20" s="7">
        <f>VLOOKUP(C13,SUBSIDIOM,3,1)</f>
        <v>0</v>
      </c>
      <c r="D20" s="7">
        <f>VLOOKUP(D13,SUBSIDIOM,3,1)</f>
        <v>324.87</v>
      </c>
      <c r="F20" s="7">
        <f>VLOOKUP(F13,SUBSIDIOQ,3,1)</f>
        <v>160.35</v>
      </c>
    </row>
    <row r="21" spans="2:8">
      <c r="B21" s="7" t="s">
        <v>245</v>
      </c>
      <c r="C21" s="7">
        <f>IF(C19&gt;C20,C19-C20,0)</f>
        <v>1969.4084319999997</v>
      </c>
      <c r="D21" s="7">
        <f>IF(D19&gt;D20,D19-D20,0)</f>
        <v>0</v>
      </c>
      <c r="F21" s="7">
        <f>IF(F19&gt;F20,F19-F20,0)</f>
        <v>0</v>
      </c>
    </row>
    <row r="22" spans="2:8">
      <c r="B22" s="7" t="s">
        <v>246</v>
      </c>
      <c r="C22" s="7">
        <f>IF(C20&gt;C19,C20-C19,0)</f>
        <v>0</v>
      </c>
      <c r="D22" s="7">
        <f>IF(D20&gt;D19,D20-D19,0)</f>
        <v>33.743760000000009</v>
      </c>
      <c r="F22" s="7">
        <f>IF(F20&gt;F19,F20-F19,0)</f>
        <v>14.596921052631558</v>
      </c>
    </row>
    <row r="26" spans="2:8">
      <c r="B26" s="7" t="s">
        <v>105</v>
      </c>
      <c r="C26" s="7">
        <v>10000</v>
      </c>
    </row>
    <row r="27" spans="2:8">
      <c r="B27" s="7" t="s">
        <v>239</v>
      </c>
      <c r="C27" s="7">
        <f>VLOOKUP(C26,ISRM,1,1)</f>
        <v>9614.67</v>
      </c>
    </row>
    <row r="28" spans="2:8">
      <c r="B28" s="7" t="s">
        <v>240</v>
      </c>
      <c r="C28" s="7">
        <f>+C26-C27</f>
        <v>385.32999999999993</v>
      </c>
    </row>
    <row r="29" spans="2:8">
      <c r="B29" s="7" t="s">
        <v>241</v>
      </c>
      <c r="C29" s="53">
        <f>VLOOKUP(C26,ISRM,4,1)</f>
        <v>0.16</v>
      </c>
    </row>
    <row r="30" spans="2:8">
      <c r="B30" s="7" t="s">
        <v>242</v>
      </c>
      <c r="C30" s="7">
        <f>+C29*C28</f>
        <v>61.652799999999992</v>
      </c>
    </row>
    <row r="31" spans="2:8">
      <c r="B31" s="7" t="s">
        <v>209</v>
      </c>
      <c r="C31" s="7">
        <f>VLOOKUP(C26,ISRM,3,1)</f>
        <v>772.1</v>
      </c>
    </row>
    <row r="32" spans="2:8">
      <c r="B32" s="66" t="s">
        <v>243</v>
      </c>
      <c r="C32" s="66">
        <f>+C30+C31</f>
        <v>833.75279999999998</v>
      </c>
    </row>
    <row r="33" spans="2:11">
      <c r="B33" s="7" t="s">
        <v>244</v>
      </c>
      <c r="C33" s="7">
        <f>VLOOKUP(C26,SUBSIDIOM,3,1)</f>
        <v>0</v>
      </c>
    </row>
    <row r="34" spans="2:11">
      <c r="B34" s="63" t="s">
        <v>245</v>
      </c>
      <c r="C34" s="63">
        <f>IF(C32&gt;C33,C32-C33,0)</f>
        <v>833.75279999999998</v>
      </c>
    </row>
    <row r="35" spans="2:11">
      <c r="B35" s="7" t="s">
        <v>246</v>
      </c>
      <c r="C35" s="7">
        <f>IF(C33&gt;C32,C33-C32,0)</f>
        <v>0</v>
      </c>
    </row>
    <row r="38" spans="2:11">
      <c r="B38" s="9" t="s">
        <v>389</v>
      </c>
      <c r="C38" s="9">
        <f>+C26</f>
        <v>10000</v>
      </c>
    </row>
    <row r="40" spans="2:11">
      <c r="B40" s="7" t="s">
        <v>390</v>
      </c>
      <c r="C40" s="7">
        <f>+C34</f>
        <v>833.75279999999998</v>
      </c>
    </row>
    <row r="41" spans="2:11">
      <c r="B41" s="7" t="s">
        <v>391</v>
      </c>
    </row>
    <row r="43" spans="2:11">
      <c r="B43" s="7" t="s">
        <v>392</v>
      </c>
    </row>
    <row r="44" spans="2:11">
      <c r="B44" s="63" t="s">
        <v>397</v>
      </c>
    </row>
    <row r="45" spans="2:11">
      <c r="B45" s="7" t="s">
        <v>393</v>
      </c>
      <c r="C45" s="7" t="s">
        <v>394</v>
      </c>
    </row>
    <row r="46" spans="2:11">
      <c r="B46" s="7" t="s">
        <v>395</v>
      </c>
      <c r="C46" s="7" t="s">
        <v>396</v>
      </c>
      <c r="I46" s="9" t="s">
        <v>402</v>
      </c>
    </row>
    <row r="48" spans="2:11">
      <c r="B48" s="63" t="s">
        <v>398</v>
      </c>
      <c r="I48" s="7" t="s">
        <v>403</v>
      </c>
      <c r="K48" s="7">
        <v>2000</v>
      </c>
    </row>
    <row r="49" spans="2:11">
      <c r="B49" s="7" t="s">
        <v>399</v>
      </c>
      <c r="C49" s="7" t="s">
        <v>400</v>
      </c>
      <c r="D49" s="7" t="s">
        <v>412</v>
      </c>
      <c r="I49" s="63" t="s">
        <v>120</v>
      </c>
      <c r="J49" s="63"/>
      <c r="K49" s="63">
        <f>+K48*40</f>
        <v>80000</v>
      </c>
    </row>
    <row r="50" spans="2:11">
      <c r="B50" s="7" t="s">
        <v>401</v>
      </c>
      <c r="D50" s="7" t="s">
        <v>412</v>
      </c>
      <c r="I50" s="7" t="s">
        <v>404</v>
      </c>
    </row>
    <row r="52" spans="2:11">
      <c r="I52" s="9" t="s">
        <v>405</v>
      </c>
    </row>
    <row r="54" spans="2:11">
      <c r="I54" s="7" t="s">
        <v>406</v>
      </c>
    </row>
    <row r="55" spans="2:11">
      <c r="I55" s="7" t="s">
        <v>407</v>
      </c>
    </row>
    <row r="57" spans="2:11">
      <c r="I57" s="7" t="s">
        <v>408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3685E-5029-4309-8C4A-3A625EBE9723}">
  <dimension ref="B2:J28"/>
  <sheetViews>
    <sheetView zoomScale="140" zoomScaleNormal="140" workbookViewId="0">
      <selection activeCell="B3" sqref="B3"/>
    </sheetView>
  </sheetViews>
  <sheetFormatPr baseColWidth="10" defaultColWidth="11.54296875" defaultRowHeight="14.5"/>
  <cols>
    <col min="1" max="1" width="6.81640625" style="7" customWidth="1"/>
    <col min="2" max="2" width="25.36328125" style="7" bestFit="1" customWidth="1"/>
    <col min="3" max="3" width="11.54296875" style="7"/>
    <col min="4" max="4" width="13.90625" style="7" bestFit="1" customWidth="1"/>
    <col min="5" max="5" width="16" style="7" bestFit="1" customWidth="1"/>
    <col min="6" max="6" width="11.54296875" style="7"/>
    <col min="7" max="7" width="17" style="7" customWidth="1"/>
    <col min="8" max="8" width="16.08984375" style="7" customWidth="1"/>
    <col min="9" max="16384" width="11.54296875" style="7"/>
  </cols>
  <sheetData>
    <row r="2" spans="2:8">
      <c r="C2" s="7" t="s">
        <v>168</v>
      </c>
      <c r="D2" s="7" t="s">
        <v>321</v>
      </c>
      <c r="E2" s="7" t="s">
        <v>322</v>
      </c>
      <c r="F2" s="7" t="s">
        <v>168</v>
      </c>
    </row>
    <row r="3" spans="2:8">
      <c r="B3" s="7" t="s">
        <v>238</v>
      </c>
      <c r="C3" s="7">
        <v>10000</v>
      </c>
      <c r="D3" s="7">
        <v>2500</v>
      </c>
      <c r="E3" s="7">
        <v>5000</v>
      </c>
      <c r="F3" s="7">
        <f>+E3+D3</f>
        <v>7500</v>
      </c>
    </row>
    <row r="4" spans="2:8">
      <c r="B4" s="7" t="s">
        <v>239</v>
      </c>
      <c r="C4" s="7">
        <f>VLOOKUP(C3,ISRM,1,1)</f>
        <v>9614.67</v>
      </c>
      <c r="D4" s="7">
        <f>VLOOKUP(D3,ISRQ,1,1)</f>
        <v>318.05427631578954</v>
      </c>
      <c r="E4" s="7">
        <f>VLOOKUP(E3,ISRQ,1,1)</f>
        <v>4744.0805921052633</v>
      </c>
      <c r="F4" s="7">
        <f>VLOOKUP(F3,ISRM,1,1)</f>
        <v>5470.93</v>
      </c>
    </row>
    <row r="5" spans="2:8">
      <c r="B5" s="7" t="s">
        <v>240</v>
      </c>
      <c r="C5" s="7">
        <f>+C3-C4</f>
        <v>385.32999999999993</v>
      </c>
      <c r="D5" s="7">
        <f>+D3-D4</f>
        <v>2181.9457236842104</v>
      </c>
      <c r="E5" s="7">
        <f>+E3-E4</f>
        <v>255.91940789473665</v>
      </c>
      <c r="F5" s="7">
        <f>+F3-F4</f>
        <v>2029.0699999999997</v>
      </c>
    </row>
    <row r="6" spans="2:8">
      <c r="B6" s="7" t="s">
        <v>241</v>
      </c>
      <c r="C6" s="115">
        <f>VLOOKUP(C3,ISRM,4,1)</f>
        <v>0.16</v>
      </c>
      <c r="D6" s="115">
        <f>VLOOKUP(D3,ISRQ,4,1)</f>
        <v>6.4000000000000001E-2</v>
      </c>
      <c r="E6" s="115">
        <f>VLOOKUP(E3,ISRQ,4,1)</f>
        <v>0.16</v>
      </c>
      <c r="F6" s="115">
        <f>VLOOKUP(F3,ISRM,4,1)</f>
        <v>0.10880000000000001</v>
      </c>
      <c r="G6" s="7" t="s">
        <v>334</v>
      </c>
      <c r="H6" s="7">
        <f>+F9</f>
        <v>542.02281599999992</v>
      </c>
    </row>
    <row r="7" spans="2:8">
      <c r="B7" s="7" t="s">
        <v>242</v>
      </c>
      <c r="C7" s="7">
        <f>+C6*C5</f>
        <v>61.652799999999992</v>
      </c>
      <c r="D7" s="7">
        <f>+D6*D5</f>
        <v>139.64452631578948</v>
      </c>
      <c r="E7" s="7">
        <f>+E6*E5</f>
        <v>40.947105263157866</v>
      </c>
      <c r="F7" s="7">
        <f>+F6*F5</f>
        <v>220.76281599999999</v>
      </c>
      <c r="G7" s="7" t="s">
        <v>335</v>
      </c>
      <c r="H7" s="7">
        <f>-D12</f>
        <v>-14.596921052631558</v>
      </c>
    </row>
    <row r="8" spans="2:8">
      <c r="B8" s="7" t="s">
        <v>209</v>
      </c>
      <c r="C8" s="7">
        <f>VLOOKUP(C3,ISRM,3,1)</f>
        <v>772.1</v>
      </c>
      <c r="D8" s="7">
        <f>VLOOKUP(D3,ISRQ,3,1)</f>
        <v>6.1085526315789487</v>
      </c>
      <c r="E8" s="7">
        <f>VLOOKUP(E3,ISRQ,3,1)</f>
        <v>380.97039473684214</v>
      </c>
      <c r="F8" s="7">
        <f>VLOOKUP(F3,ISRM,3,1)</f>
        <v>321.26</v>
      </c>
    </row>
    <row r="9" spans="2:8">
      <c r="B9" s="66" t="s">
        <v>243</v>
      </c>
      <c r="C9" s="66">
        <f>+C7+C8</f>
        <v>833.75279999999998</v>
      </c>
      <c r="D9" s="66">
        <f>+D7+D8</f>
        <v>145.75307894736844</v>
      </c>
      <c r="E9" s="66">
        <f>+E7+E8</f>
        <v>421.91750000000002</v>
      </c>
      <c r="F9" s="66">
        <f>+F7+F8</f>
        <v>542.02281599999992</v>
      </c>
      <c r="G9" s="7" t="s">
        <v>323</v>
      </c>
      <c r="H9" s="7">
        <f>+H6</f>
        <v>542.02281599999992</v>
      </c>
    </row>
    <row r="10" spans="2:8">
      <c r="B10" s="7" t="s">
        <v>244</v>
      </c>
      <c r="C10" s="7">
        <f>VLOOKUP(C3,SUBSIDIOM,3,1)</f>
        <v>0</v>
      </c>
      <c r="D10" s="7">
        <f>VLOOKUP(D3,SUBSIDIOQ,3,1)</f>
        <v>160.35</v>
      </c>
      <c r="E10" s="7">
        <f>VLOOKUP(E3,SUBSIDIOQ,3,1)</f>
        <v>0</v>
      </c>
      <c r="F10" s="7">
        <f>VLOOKUP(F3,SUBSIDIOM,3,1)</f>
        <v>0</v>
      </c>
      <c r="G10" s="7" t="s">
        <v>336</v>
      </c>
      <c r="H10" s="7">
        <f>-H7</f>
        <v>14.596921052631558</v>
      </c>
    </row>
    <row r="11" spans="2:8">
      <c r="B11" s="7" t="s">
        <v>245</v>
      </c>
      <c r="C11" s="7">
        <f>IF(C9&gt;C10,C9-C10,0)</f>
        <v>833.75279999999998</v>
      </c>
      <c r="D11" s="7">
        <f>IF(D9&gt;D10,D9-D10,0)</f>
        <v>0</v>
      </c>
      <c r="E11" s="7">
        <f>IF(E9&gt;E10,E9-E10,0)</f>
        <v>421.91750000000002</v>
      </c>
      <c r="F11" s="7">
        <f>IF(F9&gt;F10,F9-F10,0)</f>
        <v>542.02281599999992</v>
      </c>
      <c r="G11" s="66" t="s">
        <v>337</v>
      </c>
      <c r="H11" s="66">
        <f>+H10+H9</f>
        <v>556.61973705263154</v>
      </c>
    </row>
    <row r="12" spans="2:8">
      <c r="B12" s="7" t="s">
        <v>246</v>
      </c>
      <c r="C12" s="7">
        <f>IF(C10&gt;C9,C10-C9,0)</f>
        <v>0</v>
      </c>
      <c r="D12" s="63">
        <f>IF(D10&gt;D9,D10-D9,0)</f>
        <v>14.596921052631558</v>
      </c>
      <c r="E12" s="63">
        <f>IF(E10&gt;E9,E10-E9,0)</f>
        <v>0</v>
      </c>
      <c r="F12" s="7">
        <f>IF(F10&gt;F9,F10-F9,0)</f>
        <v>0</v>
      </c>
    </row>
    <row r="13" spans="2:8">
      <c r="E13" s="7" t="s">
        <v>323</v>
      </c>
      <c r="F13" s="7">
        <f>+E11</f>
        <v>421.91750000000002</v>
      </c>
    </row>
    <row r="14" spans="2:8">
      <c r="E14" s="7" t="s">
        <v>246</v>
      </c>
      <c r="F14" s="7">
        <f>-D12</f>
        <v>-14.596921052631558</v>
      </c>
    </row>
    <row r="15" spans="2:8">
      <c r="E15" s="63" t="s">
        <v>323</v>
      </c>
      <c r="F15" s="63">
        <f>+F11-F13-F14</f>
        <v>134.70223705263146</v>
      </c>
    </row>
    <row r="18" spans="2:10">
      <c r="E18" s="7" t="s">
        <v>324</v>
      </c>
      <c r="F18" s="7">
        <v>-26.27</v>
      </c>
    </row>
    <row r="19" spans="2:10">
      <c r="E19" s="66" t="s">
        <v>325</v>
      </c>
      <c r="F19" s="66">
        <f>+F11-F18</f>
        <v>568.2928159999999</v>
      </c>
    </row>
    <row r="21" spans="2:10">
      <c r="D21" s="7" t="s">
        <v>327</v>
      </c>
      <c r="E21" s="7" t="s">
        <v>326</v>
      </c>
      <c r="F21" s="7">
        <f>+F11</f>
        <v>542.02281599999992</v>
      </c>
      <c r="G21" s="7" t="s">
        <v>243</v>
      </c>
    </row>
    <row r="22" spans="2:10">
      <c r="E22" s="9" t="s">
        <v>328</v>
      </c>
      <c r="F22" s="9">
        <f>+F14</f>
        <v>-14.596921052631558</v>
      </c>
      <c r="G22" s="7" t="s">
        <v>329</v>
      </c>
    </row>
    <row r="23" spans="2:10">
      <c r="F23" s="66">
        <f>+F21-F22</f>
        <v>556.61973705263154</v>
      </c>
    </row>
    <row r="24" spans="2:10">
      <c r="H24" s="66" t="s">
        <v>168</v>
      </c>
      <c r="I24" s="66">
        <v>6000</v>
      </c>
      <c r="J24" s="7" t="s">
        <v>243</v>
      </c>
    </row>
    <row r="25" spans="2:10">
      <c r="B25" s="7" t="s">
        <v>330</v>
      </c>
      <c r="H25" s="7" t="s">
        <v>256</v>
      </c>
      <c r="I25" s="7">
        <v>120</v>
      </c>
      <c r="J25" s="7" t="s">
        <v>333</v>
      </c>
    </row>
    <row r="26" spans="2:10">
      <c r="B26" s="7" t="s">
        <v>331</v>
      </c>
      <c r="H26" s="7" t="s">
        <v>323</v>
      </c>
      <c r="I26" s="7">
        <f>+I24</f>
        <v>6000</v>
      </c>
    </row>
    <row r="27" spans="2:10">
      <c r="B27" s="7" t="s">
        <v>332</v>
      </c>
      <c r="H27" s="7" t="s">
        <v>329</v>
      </c>
      <c r="I27" s="7">
        <f>-I25</f>
        <v>-120</v>
      </c>
    </row>
    <row r="28" spans="2:10">
      <c r="I28" s="7">
        <f>+I26-I27</f>
        <v>6120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8C98F-5BCB-4EA8-A037-4F0210045EBF}">
  <dimension ref="A2:I121"/>
  <sheetViews>
    <sheetView topLeftCell="C107" zoomScale="160" zoomScaleNormal="160" workbookViewId="0">
      <selection activeCell="E115" sqref="E115"/>
    </sheetView>
  </sheetViews>
  <sheetFormatPr baseColWidth="10" defaultColWidth="11.54296875" defaultRowHeight="14.5"/>
  <cols>
    <col min="1" max="1" width="11.54296875" style="7"/>
    <col min="2" max="2" width="34.36328125" style="7" customWidth="1"/>
    <col min="3" max="3" width="19.6328125" style="7" bestFit="1" customWidth="1"/>
    <col min="4" max="4" width="36.90625" style="7" customWidth="1"/>
    <col min="5" max="7" width="11.54296875" style="7"/>
    <col min="8" max="8" width="22.453125" style="7" bestFit="1" customWidth="1"/>
    <col min="9" max="16384" width="11.54296875" style="7"/>
  </cols>
  <sheetData>
    <row r="2" spans="2:2">
      <c r="B2" s="7" t="s">
        <v>338</v>
      </c>
    </row>
    <row r="3" spans="2:2">
      <c r="B3" s="9" t="s">
        <v>339</v>
      </c>
    </row>
    <row r="4" spans="2:2">
      <c r="B4" s="7" t="s">
        <v>340</v>
      </c>
    </row>
    <row r="6" spans="2:2">
      <c r="B6" s="7" t="s">
        <v>341</v>
      </c>
    </row>
    <row r="7" spans="2:2">
      <c r="B7" s="7" t="s">
        <v>342</v>
      </c>
    </row>
    <row r="16" spans="2:2">
      <c r="B16" s="7" t="s">
        <v>343</v>
      </c>
    </row>
    <row r="18" spans="1:9">
      <c r="B18" s="7" t="s">
        <v>344</v>
      </c>
      <c r="D18" s="7" t="s">
        <v>355</v>
      </c>
    </row>
    <row r="19" spans="1:9">
      <c r="A19" s="72" t="s">
        <v>345</v>
      </c>
      <c r="B19" s="7" t="s">
        <v>346</v>
      </c>
    </row>
    <row r="20" spans="1:9">
      <c r="B20" s="7" t="s">
        <v>347</v>
      </c>
      <c r="C20" s="7" t="s">
        <v>348</v>
      </c>
      <c r="D20" s="7" t="s">
        <v>349</v>
      </c>
    </row>
    <row r="21" spans="1:9">
      <c r="A21" s="7" t="s">
        <v>345</v>
      </c>
      <c r="B21" s="7" t="s">
        <v>349</v>
      </c>
      <c r="C21" s="7" t="s">
        <v>350</v>
      </c>
      <c r="D21" s="7" t="s">
        <v>351</v>
      </c>
    </row>
    <row r="22" spans="1:9">
      <c r="B22" s="7" t="s">
        <v>352</v>
      </c>
      <c r="C22" s="7" t="s">
        <v>232</v>
      </c>
      <c r="D22" s="7" t="s">
        <v>234</v>
      </c>
    </row>
    <row r="23" spans="1:9">
      <c r="E23" s="7" t="s">
        <v>168</v>
      </c>
      <c r="F23" s="7" t="s">
        <v>353</v>
      </c>
    </row>
    <row r="24" spans="1:9">
      <c r="D24" s="7" t="s">
        <v>232</v>
      </c>
      <c r="E24" s="7">
        <v>12000</v>
      </c>
      <c r="F24" s="7">
        <f>+E24*12</f>
        <v>144000</v>
      </c>
      <c r="G24" s="66">
        <f>+F24+F25+F27+F29+F30</f>
        <v>233000</v>
      </c>
      <c r="H24" s="66" t="s">
        <v>372</v>
      </c>
    </row>
    <row r="25" spans="1:9">
      <c r="D25" s="7" t="s">
        <v>120</v>
      </c>
      <c r="E25" s="7">
        <v>6000</v>
      </c>
      <c r="F25" s="7">
        <v>6000</v>
      </c>
      <c r="G25" s="63">
        <f>+G24*0.3</f>
        <v>69900</v>
      </c>
    </row>
    <row r="26" spans="1:9">
      <c r="D26" s="7" t="s">
        <v>189</v>
      </c>
      <c r="F26" s="7">
        <f>-30*UMA</f>
        <v>-2688.6000000000004</v>
      </c>
      <c r="G26" s="63">
        <f>+G24*0.1</f>
        <v>23300</v>
      </c>
    </row>
    <row r="27" spans="1:9">
      <c r="D27" s="7" t="s">
        <v>233</v>
      </c>
      <c r="F27" s="7">
        <v>3000</v>
      </c>
      <c r="G27" s="63">
        <f>+G26+G25</f>
        <v>93200</v>
      </c>
    </row>
    <row r="28" spans="1:9">
      <c r="D28" s="7" t="s">
        <v>189</v>
      </c>
      <c r="F28" s="7">
        <f>-15*UMA</f>
        <v>-1344.3000000000002</v>
      </c>
      <c r="H28" s="7" t="str">
        <f>+D25</f>
        <v>Aguinaldo</v>
      </c>
      <c r="I28" s="7">
        <f>+F26</f>
        <v>-2688.6000000000004</v>
      </c>
    </row>
    <row r="29" spans="1:9">
      <c r="D29" s="7" t="s">
        <v>354</v>
      </c>
      <c r="F29" s="7">
        <v>15000</v>
      </c>
      <c r="H29" s="7" t="str">
        <f>+D27</f>
        <v>Prima vacacional</v>
      </c>
      <c r="I29" s="7">
        <f>+F28</f>
        <v>-1344.3000000000002</v>
      </c>
    </row>
    <row r="30" spans="1:9">
      <c r="D30" s="7" t="s">
        <v>356</v>
      </c>
      <c r="F30" s="7">
        <v>65000</v>
      </c>
      <c r="H30" s="7" t="str">
        <f>+D30</f>
        <v>Pago por separación</v>
      </c>
      <c r="I30" s="7">
        <f>+F31</f>
        <v>-40329</v>
      </c>
    </row>
    <row r="31" spans="1:9">
      <c r="D31" s="7" t="s">
        <v>357</v>
      </c>
      <c r="F31" s="7">
        <f>-5*90*UMA</f>
        <v>-40329</v>
      </c>
      <c r="H31" s="63" t="s">
        <v>26</v>
      </c>
      <c r="I31" s="63">
        <f>SUM(I28:I30)</f>
        <v>-44361.9</v>
      </c>
    </row>
    <row r="32" spans="1:9">
      <c r="D32" s="66" t="s">
        <v>358</v>
      </c>
      <c r="E32" s="66"/>
      <c r="F32" s="66">
        <f>SUM(F24:F31)</f>
        <v>188638.1</v>
      </c>
    </row>
    <row r="35" spans="4:6">
      <c r="D35" s="7" t="s">
        <v>359</v>
      </c>
    </row>
    <row r="36" spans="4:6">
      <c r="D36" s="7" t="s">
        <v>360</v>
      </c>
      <c r="E36" s="7">
        <v>12000</v>
      </c>
    </row>
    <row r="37" spans="4:6">
      <c r="D37" s="7" t="s">
        <v>239</v>
      </c>
      <c r="E37" s="7">
        <f>VLOOKUP(E36,ISRM,1,1)</f>
        <v>11176.63</v>
      </c>
    </row>
    <row r="38" spans="4:6">
      <c r="D38" s="7" t="s">
        <v>240</v>
      </c>
      <c r="E38" s="7">
        <f>+E36-E37</f>
        <v>823.3700000000008</v>
      </c>
    </row>
    <row r="39" spans="4:6">
      <c r="D39" s="7" t="s">
        <v>241</v>
      </c>
      <c r="E39" s="53">
        <f>VLOOKUP(E36,ISRM,4,1)</f>
        <v>0.17920000000000003</v>
      </c>
    </row>
    <row r="40" spans="4:6">
      <c r="D40" s="7" t="s">
        <v>242</v>
      </c>
      <c r="E40" s="7">
        <f>+E39*E38</f>
        <v>147.54790400000016</v>
      </c>
    </row>
    <row r="41" spans="4:6">
      <c r="D41" s="7" t="s">
        <v>209</v>
      </c>
      <c r="E41" s="7">
        <f>VLOOKUP(E36,ISRM,3,1)</f>
        <v>1022.01</v>
      </c>
    </row>
    <row r="42" spans="4:6">
      <c r="D42" s="66" t="s">
        <v>243</v>
      </c>
      <c r="E42" s="66">
        <f>+E40+E41</f>
        <v>1169.5579040000002</v>
      </c>
    </row>
    <row r="43" spans="4:6">
      <c r="D43" s="7" t="s">
        <v>244</v>
      </c>
      <c r="E43" s="7">
        <f>VLOOKUP(E36,SUBSIDIOM,3,1)</f>
        <v>0</v>
      </c>
    </row>
    <row r="44" spans="4:6">
      <c r="D44" s="63" t="s">
        <v>245</v>
      </c>
      <c r="E44" s="63">
        <f>IF(E42&gt;E43,E42-E43,0)</f>
        <v>1169.5579040000002</v>
      </c>
      <c r="F44" s="7">
        <f>+E44*6</f>
        <v>7017.3474240000014</v>
      </c>
    </row>
    <row r="45" spans="4:6">
      <c r="D45" s="7" t="s">
        <v>246</v>
      </c>
      <c r="E45" s="7">
        <f>IF(E43&gt;E42,E43-E42,0)</f>
        <v>0</v>
      </c>
    </row>
    <row r="47" spans="4:6">
      <c r="D47" s="7" t="s">
        <v>361</v>
      </c>
    </row>
    <row r="48" spans="4:6">
      <c r="D48" s="7" t="s">
        <v>362</v>
      </c>
      <c r="E48" s="7">
        <v>27000</v>
      </c>
    </row>
    <row r="49" spans="4:8">
      <c r="D49" s="7" t="s">
        <v>239</v>
      </c>
      <c r="E49" s="7">
        <f>VLOOKUP(E48,ISRM,1,1)</f>
        <v>26988.51</v>
      </c>
    </row>
    <row r="50" spans="4:8">
      <c r="D50" s="7" t="s">
        <v>240</v>
      </c>
      <c r="E50" s="7">
        <f>+E48-E49</f>
        <v>11.490000000001601</v>
      </c>
    </row>
    <row r="51" spans="4:8">
      <c r="D51" s="7" t="s">
        <v>241</v>
      </c>
      <c r="E51" s="53">
        <f>VLOOKUP(E48,ISRM,4,1)</f>
        <v>0.23519999999999999</v>
      </c>
    </row>
    <row r="52" spans="4:8">
      <c r="D52" s="7" t="s">
        <v>242</v>
      </c>
      <c r="E52" s="7">
        <f>+E51*E50</f>
        <v>2.7024480000003765</v>
      </c>
    </row>
    <row r="53" spans="4:8">
      <c r="D53" s="7" t="s">
        <v>209</v>
      </c>
      <c r="E53" s="7">
        <f>VLOOKUP(E48,ISRM,3,1)</f>
        <v>4323.58</v>
      </c>
    </row>
    <row r="54" spans="4:8">
      <c r="D54" s="66" t="s">
        <v>243</v>
      </c>
      <c r="E54" s="66">
        <f>+E52+E53</f>
        <v>4326.2824479999999</v>
      </c>
    </row>
    <row r="55" spans="4:8">
      <c r="D55" s="7" t="s">
        <v>244</v>
      </c>
      <c r="E55" s="7">
        <f>VLOOKUP(E48,SUBSIDIOM,3,1)</f>
        <v>0</v>
      </c>
    </row>
    <row r="56" spans="4:8">
      <c r="D56" s="63" t="s">
        <v>245</v>
      </c>
      <c r="E56" s="63">
        <f>IF(E54&gt;E55,E54-E55,0)</f>
        <v>4326.2824479999999</v>
      </c>
      <c r="F56" s="7">
        <f>+E56</f>
        <v>4326.2824479999999</v>
      </c>
    </row>
    <row r="57" spans="4:8">
      <c r="D57" s="7" t="s">
        <v>246</v>
      </c>
      <c r="E57" s="7">
        <f>IF(E55&gt;E54,E55-E54,0)</f>
        <v>0</v>
      </c>
    </row>
    <row r="59" spans="4:8">
      <c r="D59" s="7" t="s">
        <v>363</v>
      </c>
    </row>
    <row r="60" spans="4:8">
      <c r="D60" s="7" t="s">
        <v>360</v>
      </c>
      <c r="E60" s="7">
        <v>12000</v>
      </c>
      <c r="G60" s="7" t="s">
        <v>291</v>
      </c>
      <c r="H60" s="7">
        <f>+E66</f>
        <v>1169.5579040000002</v>
      </c>
    </row>
    <row r="61" spans="4:8">
      <c r="D61" s="7" t="s">
        <v>239</v>
      </c>
      <c r="E61" s="7">
        <f>VLOOKUP(E60,ISRM,1,1)</f>
        <v>11176.63</v>
      </c>
      <c r="G61" s="7" t="s">
        <v>292</v>
      </c>
      <c r="H61" s="7">
        <f>+E60</f>
        <v>12000</v>
      </c>
    </row>
    <row r="62" spans="4:8">
      <c r="D62" s="7" t="s">
        <v>240</v>
      </c>
      <c r="E62" s="7">
        <f>+E60-E61</f>
        <v>823.3700000000008</v>
      </c>
    </row>
    <row r="63" spans="4:8">
      <c r="D63" s="7" t="s">
        <v>241</v>
      </c>
      <c r="E63" s="53">
        <f>VLOOKUP(E60,ISRM,4,1)</f>
        <v>0.17920000000000003</v>
      </c>
      <c r="G63" s="53">
        <f>+H60/H61</f>
        <v>9.7463158666666688E-2</v>
      </c>
    </row>
    <row r="64" spans="4:8">
      <c r="D64" s="7" t="s">
        <v>242</v>
      </c>
      <c r="E64" s="7">
        <f>+E63*E62</f>
        <v>147.54790400000016</v>
      </c>
    </row>
    <row r="65" spans="4:6">
      <c r="D65" s="7" t="s">
        <v>209</v>
      </c>
      <c r="E65" s="7">
        <f>VLOOKUP(E60,ISRM,3,1)</f>
        <v>1022.01</v>
      </c>
    </row>
    <row r="66" spans="4:6">
      <c r="D66" s="66" t="s">
        <v>243</v>
      </c>
      <c r="E66" s="66">
        <f>+E64+E65</f>
        <v>1169.5579040000002</v>
      </c>
    </row>
    <row r="67" spans="4:6">
      <c r="D67" s="7" t="s">
        <v>244</v>
      </c>
      <c r="E67" s="7">
        <f>VLOOKUP(E60,SUBSIDIOM,3,1)</f>
        <v>0</v>
      </c>
    </row>
    <row r="68" spans="4:6">
      <c r="D68" s="63" t="s">
        <v>245</v>
      </c>
      <c r="E68" s="63">
        <f>IF(E66&gt;E67,E66-E67,0)</f>
        <v>1169.5579040000002</v>
      </c>
      <c r="F68" s="9">
        <f>+E68*4</f>
        <v>4678.2316160000009</v>
      </c>
    </row>
    <row r="69" spans="4:6">
      <c r="D69" s="7" t="s">
        <v>246</v>
      </c>
      <c r="E69" s="7">
        <f>IF(E67&gt;E66,E67-E66,0)</f>
        <v>0</v>
      </c>
    </row>
    <row r="71" spans="4:6">
      <c r="D71" s="9" t="s">
        <v>364</v>
      </c>
    </row>
    <row r="72" spans="4:6">
      <c r="D72" s="7" t="s">
        <v>105</v>
      </c>
      <c r="E72" s="7">
        <f>400*12</f>
        <v>4800</v>
      </c>
    </row>
    <row r="73" spans="4:6">
      <c r="D73" s="7" t="s">
        <v>120</v>
      </c>
      <c r="E73" s="7">
        <f>+E25</f>
        <v>6000</v>
      </c>
    </row>
    <row r="74" spans="4:6">
      <c r="D74" s="7" t="s">
        <v>189</v>
      </c>
      <c r="E74" s="7">
        <f>-30*UMA</f>
        <v>-2688.6000000000004</v>
      </c>
    </row>
    <row r="75" spans="4:6">
      <c r="D75" s="7" t="s">
        <v>233</v>
      </c>
      <c r="E75" s="7">
        <f>+F27</f>
        <v>3000</v>
      </c>
    </row>
    <row r="76" spans="4:6">
      <c r="D76" s="7" t="s">
        <v>365</v>
      </c>
      <c r="E76" s="7">
        <f>-15*UMA</f>
        <v>-1344.3000000000002</v>
      </c>
    </row>
    <row r="77" spans="4:6">
      <c r="D77" s="7" t="s">
        <v>366</v>
      </c>
      <c r="E77" s="7">
        <f>SUM(E72:E76)</f>
        <v>9767.0999999999985</v>
      </c>
    </row>
    <row r="78" spans="4:6">
      <c r="D78" s="7" t="s">
        <v>239</v>
      </c>
      <c r="E78" s="7">
        <f>VLOOKUP(E77,ISRM,1,1)</f>
        <v>9614.67</v>
      </c>
    </row>
    <row r="79" spans="4:6">
      <c r="D79" s="7" t="s">
        <v>240</v>
      </c>
      <c r="E79" s="7">
        <f>+E77-E78</f>
        <v>152.42999999999847</v>
      </c>
    </row>
    <row r="80" spans="4:6">
      <c r="D80" s="7" t="s">
        <v>241</v>
      </c>
      <c r="E80" s="53">
        <f>VLOOKUP(E77,ISRM,4,1)</f>
        <v>0.16</v>
      </c>
    </row>
    <row r="81" spans="4:6">
      <c r="D81" s="7" t="s">
        <v>242</v>
      </c>
      <c r="E81" s="7">
        <f>+E80*E79</f>
        <v>24.388799999999755</v>
      </c>
    </row>
    <row r="82" spans="4:6">
      <c r="D82" s="7" t="s">
        <v>209</v>
      </c>
      <c r="E82" s="7">
        <f>VLOOKUP(E77,ISRM,3,1)</f>
        <v>772.1</v>
      </c>
    </row>
    <row r="83" spans="4:6">
      <c r="D83" s="66" t="s">
        <v>243</v>
      </c>
      <c r="E83" s="66">
        <f>+E81+E82</f>
        <v>796.48879999999974</v>
      </c>
    </row>
    <row r="84" spans="4:6">
      <c r="D84" s="7" t="s">
        <v>244</v>
      </c>
      <c r="E84" s="7">
        <f>VLOOKUP(E77,SUBSIDIOM,3,1)</f>
        <v>0</v>
      </c>
    </row>
    <row r="85" spans="4:6">
      <c r="D85" s="63" t="s">
        <v>245</v>
      </c>
      <c r="E85" s="63">
        <f>IF(E83&gt;E84,E83-E84,0)</f>
        <v>796.48879999999974</v>
      </c>
      <c r="F85" s="7">
        <f>+E85</f>
        <v>796.48879999999974</v>
      </c>
    </row>
    <row r="88" spans="4:6">
      <c r="D88" s="7" t="s">
        <v>234</v>
      </c>
    </row>
    <row r="89" spans="4:6">
      <c r="D89" s="7" t="str">
        <f>+D30</f>
        <v>Pago por separación</v>
      </c>
      <c r="E89" s="7">
        <f>+F30</f>
        <v>65000</v>
      </c>
    </row>
    <row r="90" spans="4:6">
      <c r="D90" s="7" t="s">
        <v>189</v>
      </c>
      <c r="E90" s="7">
        <f>+F31</f>
        <v>-40329</v>
      </c>
    </row>
    <row r="91" spans="4:6">
      <c r="D91" s="9" t="s">
        <v>290</v>
      </c>
      <c r="E91" s="9">
        <f>SUM(E89:E90)</f>
        <v>24671</v>
      </c>
    </row>
    <row r="92" spans="4:6">
      <c r="D92" s="7" t="s">
        <v>295</v>
      </c>
      <c r="E92" s="67">
        <f>+G63</f>
        <v>9.7463158666666688E-2</v>
      </c>
    </row>
    <row r="93" spans="4:6">
      <c r="D93" s="63" t="s">
        <v>367</v>
      </c>
      <c r="E93" s="63">
        <f>+E92*E91</f>
        <v>2404.5135874653338</v>
      </c>
    </row>
    <row r="95" spans="4:6">
      <c r="D95" s="7" t="s">
        <v>368</v>
      </c>
    </row>
    <row r="96" spans="4:6">
      <c r="D96" s="7" t="s">
        <v>359</v>
      </c>
      <c r="E96" s="7">
        <f>+F44</f>
        <v>7017.3474240000014</v>
      </c>
    </row>
    <row r="97" spans="4:9">
      <c r="D97" s="7" t="s">
        <v>361</v>
      </c>
      <c r="E97" s="7">
        <f>+F56</f>
        <v>4326.2824479999999</v>
      </c>
    </row>
    <row r="98" spans="4:9">
      <c r="D98" s="7" t="s">
        <v>363</v>
      </c>
      <c r="E98" s="7">
        <f>+F68</f>
        <v>4678.2316160000009</v>
      </c>
    </row>
    <row r="99" spans="4:9">
      <c r="D99" s="7" t="s">
        <v>364</v>
      </c>
      <c r="E99" s="7">
        <f>+E85</f>
        <v>796.48879999999974</v>
      </c>
    </row>
    <row r="100" spans="4:9">
      <c r="D100" s="7" t="s">
        <v>369</v>
      </c>
      <c r="E100" s="7">
        <f>SUM(E96:E99)</f>
        <v>16818.350288000001</v>
      </c>
    </row>
    <row r="101" spans="4:9">
      <c r="D101" s="7" t="s">
        <v>370</v>
      </c>
      <c r="E101" s="7">
        <f>+E93</f>
        <v>2404.5135874653338</v>
      </c>
    </row>
    <row r="102" spans="4:9">
      <c r="D102" s="66" t="s">
        <v>371</v>
      </c>
      <c r="E102" s="66">
        <f>+E100+E101</f>
        <v>19222.863875465337</v>
      </c>
    </row>
    <row r="105" spans="4:9">
      <c r="D105" s="7" t="s">
        <v>344</v>
      </c>
      <c r="E105" s="7">
        <f>+G24</f>
        <v>233000</v>
      </c>
      <c r="H105" s="7" t="s">
        <v>376</v>
      </c>
      <c r="I105" s="7">
        <f>+E108</f>
        <v>24671</v>
      </c>
    </row>
    <row r="106" spans="4:9">
      <c r="D106" s="7" t="s">
        <v>373</v>
      </c>
      <c r="E106" s="7">
        <f>+I31</f>
        <v>-44361.9</v>
      </c>
      <c r="H106" s="7" t="s">
        <v>377</v>
      </c>
      <c r="I106" s="9">
        <v>12000</v>
      </c>
    </row>
    <row r="107" spans="4:9">
      <c r="D107" s="7" t="s">
        <v>347</v>
      </c>
      <c r="E107" s="7">
        <f>SUM(E105:E106)</f>
        <v>188638.1</v>
      </c>
      <c r="F107" s="7" t="s">
        <v>374</v>
      </c>
      <c r="H107" s="116" t="s">
        <v>378</v>
      </c>
      <c r="I107" s="116">
        <f>+I105-I106</f>
        <v>12671</v>
      </c>
    </row>
    <row r="108" spans="4:9">
      <c r="D108" s="7" t="s">
        <v>349</v>
      </c>
      <c r="E108" s="7">
        <f>+E91</f>
        <v>24671</v>
      </c>
      <c r="H108" s="7" t="s">
        <v>313</v>
      </c>
      <c r="I108" s="118">
        <f>+H115</f>
        <v>0.1152665565384247</v>
      </c>
    </row>
    <row r="109" spans="4:9">
      <c r="D109" s="7" t="s">
        <v>375</v>
      </c>
      <c r="E109" s="7">
        <f>+E107-E108</f>
        <v>163967.1</v>
      </c>
      <c r="H109" s="66" t="s">
        <v>384</v>
      </c>
      <c r="I109" s="66">
        <f>+I108*I107</f>
        <v>1460.5425378983794</v>
      </c>
    </row>
    <row r="110" spans="4:9">
      <c r="D110" s="7" t="s">
        <v>379</v>
      </c>
      <c r="E110" s="7">
        <f>+I106</f>
        <v>12000</v>
      </c>
    </row>
    <row r="111" spans="4:9">
      <c r="D111" s="66" t="s">
        <v>380</v>
      </c>
      <c r="E111" s="66">
        <f>+E110+E109</f>
        <v>175967.1</v>
      </c>
    </row>
    <row r="112" spans="4:9">
      <c r="D112" s="7" t="s">
        <v>239</v>
      </c>
      <c r="E112" s="7">
        <f>VLOOKUP(E111,ISRA,1,1)</f>
        <v>160665.79605263157</v>
      </c>
    </row>
    <row r="113" spans="4:8">
      <c r="D113" s="7" t="s">
        <v>240</v>
      </c>
      <c r="E113" s="7">
        <f>+E111-E112</f>
        <v>15301.303947368433</v>
      </c>
      <c r="G113" s="7" t="s">
        <v>243</v>
      </c>
      <c r="H113" s="7">
        <f>+E117</f>
        <v>20283.121681052635</v>
      </c>
    </row>
    <row r="114" spans="4:8">
      <c r="D114" s="7" t="s">
        <v>241</v>
      </c>
      <c r="E114" s="53">
        <f>VLOOKUP(E111,ISRA,4,1)</f>
        <v>0.21359999999999998</v>
      </c>
      <c r="G114" s="7" t="s">
        <v>382</v>
      </c>
      <c r="H114" s="7">
        <f>+E111</f>
        <v>175967.1</v>
      </c>
    </row>
    <row r="115" spans="4:8">
      <c r="D115" s="7" t="s">
        <v>242</v>
      </c>
      <c r="E115" s="7">
        <f>+E114*E113</f>
        <v>3268.3585231578973</v>
      </c>
      <c r="G115" s="7" t="s">
        <v>383</v>
      </c>
      <c r="H115" s="117">
        <f>+H113/H114</f>
        <v>0.1152665565384247</v>
      </c>
    </row>
    <row r="116" spans="4:8">
      <c r="D116" s="7" t="s">
        <v>209</v>
      </c>
      <c r="E116" s="7">
        <f>VLOOKUP(E111,ISRA,3,1)</f>
        <v>17014.763157894737</v>
      </c>
    </row>
    <row r="117" spans="4:8">
      <c r="D117" s="66" t="s">
        <v>381</v>
      </c>
      <c r="E117" s="66">
        <f>+E115+E116</f>
        <v>20283.121681052635</v>
      </c>
    </row>
    <row r="118" spans="4:8">
      <c r="D118" s="7" t="s">
        <v>385</v>
      </c>
      <c r="E118" s="7">
        <f>+I109</f>
        <v>1460.5425378983794</v>
      </c>
    </row>
    <row r="119" spans="4:8">
      <c r="D119" s="63" t="s">
        <v>386</v>
      </c>
      <c r="E119" s="63">
        <f>+E118+E117</f>
        <v>21743.664218951013</v>
      </c>
    </row>
    <row r="120" spans="4:8">
      <c r="D120" s="7" t="s">
        <v>387</v>
      </c>
      <c r="E120" s="7">
        <f>+E102</f>
        <v>19222.863875465337</v>
      </c>
    </row>
    <row r="121" spans="4:8">
      <c r="D121" s="119" t="s">
        <v>388</v>
      </c>
      <c r="E121" s="119">
        <f>+E119-E120</f>
        <v>2520.8003434856764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112CC-0C37-49B0-B4A1-DAEB426C5BEF}">
  <dimension ref="B2:B15"/>
  <sheetViews>
    <sheetView zoomScale="160" zoomScaleNormal="160" workbookViewId="0">
      <selection activeCell="B15" sqref="B15"/>
    </sheetView>
  </sheetViews>
  <sheetFormatPr baseColWidth="10" defaultColWidth="11.54296875" defaultRowHeight="14.5"/>
  <cols>
    <col min="1" max="1" width="11.54296875" style="7"/>
    <col min="2" max="2" width="20.453125" style="7" bestFit="1" customWidth="1"/>
    <col min="3" max="16384" width="11.54296875" style="7"/>
  </cols>
  <sheetData>
    <row r="2" spans="2:2">
      <c r="B2" s="9" t="s">
        <v>444</v>
      </c>
    </row>
    <row r="3" spans="2:2">
      <c r="B3" s="7" t="s">
        <v>445</v>
      </c>
    </row>
    <row r="4" spans="2:2">
      <c r="B4" s="7" t="s">
        <v>446</v>
      </c>
    </row>
    <row r="5" spans="2:2">
      <c r="B5" s="7" t="s">
        <v>447</v>
      </c>
    </row>
    <row r="6" spans="2:2">
      <c r="B6" s="7" t="s">
        <v>448</v>
      </c>
    </row>
    <row r="8" spans="2:2">
      <c r="B8" s="9" t="s">
        <v>449</v>
      </c>
    </row>
    <row r="9" spans="2:2">
      <c r="B9" s="7" t="s">
        <v>450</v>
      </c>
    </row>
    <row r="10" spans="2:2">
      <c r="B10" s="7" t="s">
        <v>451</v>
      </c>
    </row>
    <row r="11" spans="2:2">
      <c r="B11" s="7" t="s">
        <v>452</v>
      </c>
    </row>
    <row r="12" spans="2:2">
      <c r="B12" s="7" t="s">
        <v>453</v>
      </c>
    </row>
    <row r="13" spans="2:2">
      <c r="B13" s="7" t="s">
        <v>454</v>
      </c>
    </row>
    <row r="14" spans="2:2">
      <c r="B14" s="7" t="s">
        <v>227</v>
      </c>
    </row>
    <row r="15" spans="2:2">
      <c r="B15" s="7" t="s">
        <v>455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41E3B-170D-4C2C-A991-B2A287FC8130}">
  <dimension ref="B3:O104"/>
  <sheetViews>
    <sheetView zoomScale="150" zoomScaleNormal="150" workbookViewId="0"/>
  </sheetViews>
  <sheetFormatPr baseColWidth="10" defaultColWidth="11.54296875" defaultRowHeight="14.5"/>
  <cols>
    <col min="1" max="1" width="11.54296875" style="7"/>
    <col min="2" max="2" width="33.6328125" style="7" bestFit="1" customWidth="1"/>
    <col min="3" max="3" width="38" style="7" bestFit="1" customWidth="1"/>
    <col min="4" max="7" width="11.54296875" style="7"/>
    <col min="8" max="8" width="29.6328125" style="7" customWidth="1"/>
    <col min="9" max="9" width="11.54296875" style="7"/>
    <col min="10" max="10" width="25.453125" style="7" customWidth="1"/>
    <col min="11" max="16384" width="11.54296875" style="7"/>
  </cols>
  <sheetData>
    <row r="3" spans="2:4">
      <c r="B3" s="7" t="s">
        <v>258</v>
      </c>
      <c r="C3" s="7" t="s">
        <v>259</v>
      </c>
    </row>
    <row r="4" spans="2:4">
      <c r="B4" s="7" t="s">
        <v>260</v>
      </c>
      <c r="C4" s="9" t="s">
        <v>269</v>
      </c>
      <c r="D4" s="9" t="s">
        <v>273</v>
      </c>
    </row>
    <row r="5" spans="2:4">
      <c r="B5" s="7" t="s">
        <v>261</v>
      </c>
      <c r="C5" s="7" t="s">
        <v>270</v>
      </c>
    </row>
    <row r="6" spans="2:4">
      <c r="B6" s="7" t="s">
        <v>262</v>
      </c>
      <c r="C6" s="7" t="s">
        <v>269</v>
      </c>
    </row>
    <row r="7" spans="2:4">
      <c r="B7" s="7" t="s">
        <v>233</v>
      </c>
      <c r="C7" s="7" t="s">
        <v>271</v>
      </c>
    </row>
    <row r="8" spans="2:4">
      <c r="B8" s="7" t="s">
        <v>263</v>
      </c>
      <c r="C8" s="7" t="s">
        <v>272</v>
      </c>
    </row>
    <row r="10" spans="2:4">
      <c r="B10" s="7" t="s">
        <v>264</v>
      </c>
      <c r="C10" s="7" t="s">
        <v>274</v>
      </c>
    </row>
    <row r="11" spans="2:4">
      <c r="B11" s="7" t="s">
        <v>265</v>
      </c>
    </row>
    <row r="12" spans="2:4">
      <c r="B12" s="7" t="s">
        <v>266</v>
      </c>
    </row>
    <row r="13" spans="2:4">
      <c r="B13" s="7" t="s">
        <v>267</v>
      </c>
    </row>
    <row r="14" spans="2:4">
      <c r="B14" s="7" t="s">
        <v>268</v>
      </c>
    </row>
    <row r="15" spans="2:4">
      <c r="C15" s="7" t="s">
        <v>275</v>
      </c>
    </row>
    <row r="17" spans="2:13">
      <c r="B17" s="9" t="s">
        <v>276</v>
      </c>
      <c r="H17" s="63" t="s">
        <v>276</v>
      </c>
      <c r="J17" s="7" t="s">
        <v>281</v>
      </c>
      <c r="K17" s="7" t="s">
        <v>282</v>
      </c>
    </row>
    <row r="18" spans="2:13">
      <c r="B18" s="9" t="s">
        <v>277</v>
      </c>
      <c r="H18" s="7" t="s">
        <v>105</v>
      </c>
      <c r="I18" s="7">
        <v>8000</v>
      </c>
      <c r="J18" s="7">
        <v>8000</v>
      </c>
      <c r="K18" s="7">
        <f>+J18+I18</f>
        <v>16000</v>
      </c>
    </row>
    <row r="19" spans="2:13">
      <c r="H19" s="7" t="s">
        <v>0</v>
      </c>
      <c r="I19" s="7">
        <v>3000</v>
      </c>
      <c r="J19" s="7">
        <v>0</v>
      </c>
      <c r="K19" s="7">
        <f t="shared" ref="K19:K26" si="0">+J19+I19</f>
        <v>3000</v>
      </c>
    </row>
    <row r="20" spans="2:13">
      <c r="H20" s="7" t="s">
        <v>233</v>
      </c>
      <c r="I20" s="7">
        <f>+I19*25%</f>
        <v>750</v>
      </c>
      <c r="J20" s="7">
        <v>0</v>
      </c>
      <c r="K20" s="7">
        <f t="shared" si="0"/>
        <v>750</v>
      </c>
    </row>
    <row r="21" spans="2:13">
      <c r="H21" s="7" t="s">
        <v>120</v>
      </c>
      <c r="I21" s="7">
        <v>6000</v>
      </c>
      <c r="J21" s="7">
        <v>0</v>
      </c>
      <c r="K21" s="7">
        <f t="shared" si="0"/>
        <v>6000</v>
      </c>
    </row>
    <row r="22" spans="2:13">
      <c r="H22" s="66" t="s">
        <v>26</v>
      </c>
      <c r="I22" s="66">
        <f>SUM(I18:I21)</f>
        <v>17750</v>
      </c>
      <c r="J22" s="66">
        <f>SUM(J18:J21)</f>
        <v>8000</v>
      </c>
      <c r="K22" s="7">
        <f t="shared" si="0"/>
        <v>25750</v>
      </c>
    </row>
    <row r="23" spans="2:13">
      <c r="H23" s="7" t="s">
        <v>278</v>
      </c>
      <c r="I23" s="7">
        <f>30*UMA</f>
        <v>2688.6000000000004</v>
      </c>
      <c r="J23" s="7">
        <v>0</v>
      </c>
      <c r="K23" s="7">
        <f t="shared" si="0"/>
        <v>2688.6000000000004</v>
      </c>
    </row>
    <row r="24" spans="2:13">
      <c r="H24" s="7" t="s">
        <v>279</v>
      </c>
      <c r="I24" s="7">
        <f>+I20</f>
        <v>750</v>
      </c>
      <c r="J24" s="7">
        <v>0</v>
      </c>
      <c r="K24" s="7">
        <f t="shared" si="0"/>
        <v>750</v>
      </c>
    </row>
    <row r="25" spans="2:13">
      <c r="H25" s="7" t="s">
        <v>280</v>
      </c>
      <c r="I25" s="7">
        <f>+I24+I23</f>
        <v>3438.6000000000004</v>
      </c>
      <c r="J25" s="7">
        <v>0</v>
      </c>
      <c r="K25" s="7">
        <f t="shared" si="0"/>
        <v>3438.6000000000004</v>
      </c>
      <c r="M25" s="110" t="s">
        <v>291</v>
      </c>
    </row>
    <row r="26" spans="2:13">
      <c r="H26" s="66" t="s">
        <v>238</v>
      </c>
      <c r="I26" s="66">
        <f>+I22-I25</f>
        <v>14311.4</v>
      </c>
      <c r="J26" s="66">
        <f>+J22-J25</f>
        <v>8000</v>
      </c>
      <c r="K26" s="7">
        <f t="shared" si="0"/>
        <v>22311.4</v>
      </c>
      <c r="M26" s="7">
        <v>16000</v>
      </c>
    </row>
    <row r="27" spans="2:13">
      <c r="H27" s="7" t="s">
        <v>239</v>
      </c>
      <c r="J27" s="7">
        <f>VLOOKUP(J26,ISRQ,1,1)</f>
        <v>6602.7039473684208</v>
      </c>
      <c r="K27" s="7">
        <f>VLOOKUP(K26,ISRM,1,1)</f>
        <v>13381.48</v>
      </c>
      <c r="M27" s="7">
        <f>VLOOKUP(M26,ISRM,1,1)</f>
        <v>13381.48</v>
      </c>
    </row>
    <row r="28" spans="2:13">
      <c r="H28" s="7" t="s">
        <v>240</v>
      </c>
      <c r="J28" s="7">
        <f>+J26-J27</f>
        <v>1397.2960526315792</v>
      </c>
      <c r="K28" s="7">
        <f>+K26-K27</f>
        <v>8929.9200000000019</v>
      </c>
      <c r="M28" s="7">
        <f>+M26-M27</f>
        <v>2618.5200000000004</v>
      </c>
    </row>
    <row r="29" spans="2:13">
      <c r="H29" s="7" t="s">
        <v>241</v>
      </c>
      <c r="J29" s="53">
        <f>VLOOKUP(J26,ISRQ,4,1)</f>
        <v>0.21359999999999998</v>
      </c>
      <c r="K29" s="53">
        <f>VLOOKUP(K26,ISRM,4,1)</f>
        <v>0.21359999999999998</v>
      </c>
      <c r="M29" s="53">
        <f>VLOOKUP(M26,ISRM,4,1)</f>
        <v>0.21359999999999998</v>
      </c>
    </row>
    <row r="30" spans="2:13">
      <c r="H30" s="7" t="s">
        <v>242</v>
      </c>
      <c r="J30" s="7">
        <f>+J29*J28</f>
        <v>298.46243684210532</v>
      </c>
      <c r="K30" s="7">
        <f>+K29*K28</f>
        <v>1907.4309120000003</v>
      </c>
      <c r="M30" s="7">
        <f>+M29*M28</f>
        <v>559.31587200000001</v>
      </c>
    </row>
    <row r="31" spans="2:13">
      <c r="H31" s="7" t="s">
        <v>209</v>
      </c>
      <c r="J31" s="7">
        <f>VLOOKUP(J26,ISRQ,3,1)</f>
        <v>699.23684210526312</v>
      </c>
      <c r="K31" s="7">
        <f>VLOOKUP(K26,ISRM,3,1)</f>
        <v>1417.12</v>
      </c>
      <c r="M31" s="7">
        <f>VLOOKUP(M26,ISRM,3,1)</f>
        <v>1417.12</v>
      </c>
    </row>
    <row r="32" spans="2:13">
      <c r="H32" s="66" t="s">
        <v>243</v>
      </c>
      <c r="J32" s="66">
        <f>+J30+J31</f>
        <v>997.69927894736838</v>
      </c>
      <c r="K32" s="66">
        <f>+K30+K31</f>
        <v>3324.5509120000002</v>
      </c>
      <c r="M32" s="66">
        <f>+M30+M31</f>
        <v>1976.435872</v>
      </c>
    </row>
    <row r="33" spans="8:15">
      <c r="H33" s="7" t="s">
        <v>244</v>
      </c>
      <c r="J33" s="7">
        <f>VLOOKUP(J26,SUBSIDIOQ,3,1)</f>
        <v>0</v>
      </c>
      <c r="K33" s="7">
        <f>VLOOKUP(K26,SUBSIDIOM,3,1)</f>
        <v>0</v>
      </c>
    </row>
    <row r="34" spans="8:15">
      <c r="H34" s="7" t="s">
        <v>245</v>
      </c>
      <c r="J34" s="7">
        <f>IF(J32&gt;J33,J32-J33,0)</f>
        <v>997.69927894736838</v>
      </c>
      <c r="K34" s="7">
        <f>IF(K32&gt;K33,K32-K33,0)</f>
        <v>3324.5509120000002</v>
      </c>
      <c r="L34" s="7" t="s">
        <v>283</v>
      </c>
    </row>
    <row r="35" spans="8:15">
      <c r="K35" s="7">
        <f>+J34</f>
        <v>997.69927894736838</v>
      </c>
      <c r="L35" s="7" t="s">
        <v>284</v>
      </c>
    </row>
    <row r="36" spans="8:15">
      <c r="K36" s="66">
        <f>+K34-K35</f>
        <v>2326.8516330526318</v>
      </c>
      <c r="L36" s="66" t="s">
        <v>285</v>
      </c>
    </row>
    <row r="38" spans="8:15">
      <c r="H38" s="66" t="s">
        <v>286</v>
      </c>
    </row>
    <row r="39" spans="8:15" ht="16">
      <c r="H39" s="7" t="s">
        <v>287</v>
      </c>
      <c r="I39" s="7">
        <f>+K18*3</f>
        <v>48000</v>
      </c>
      <c r="K39" s="7" t="s">
        <v>291</v>
      </c>
      <c r="L39" s="112">
        <f>+M32</f>
        <v>1976.435872</v>
      </c>
      <c r="M39" s="7" t="s">
        <v>293</v>
      </c>
      <c r="N39" s="7">
        <f>+L39/L40</f>
        <v>0.123527242</v>
      </c>
    </row>
    <row r="40" spans="8:15">
      <c r="H40" s="7" t="s">
        <v>267</v>
      </c>
      <c r="I40" s="7">
        <f>5*12*SMG*2</f>
        <v>17004</v>
      </c>
      <c r="K40" s="7" t="s">
        <v>292</v>
      </c>
      <c r="L40" s="7">
        <f>+M26</f>
        <v>16000</v>
      </c>
      <c r="N40" s="7">
        <v>100</v>
      </c>
      <c r="O40" s="7" t="s">
        <v>294</v>
      </c>
    </row>
    <row r="41" spans="8:15">
      <c r="H41" s="7" t="s">
        <v>288</v>
      </c>
      <c r="I41" s="7">
        <v>20000</v>
      </c>
      <c r="M41" s="7" t="s">
        <v>295</v>
      </c>
      <c r="N41" s="113">
        <f>TRUNC(+N39,4)</f>
        <v>0.1235</v>
      </c>
    </row>
    <row r="42" spans="8:15">
      <c r="H42" s="7" t="s">
        <v>289</v>
      </c>
      <c r="I42" s="7">
        <f>SUM(I39:I41)</f>
        <v>85004</v>
      </c>
    </row>
    <row r="43" spans="8:15">
      <c r="H43" s="7" t="s">
        <v>189</v>
      </c>
      <c r="I43" s="7">
        <f>5*90*UMA</f>
        <v>40329</v>
      </c>
    </row>
    <row r="44" spans="8:15">
      <c r="H44" s="63" t="s">
        <v>290</v>
      </c>
      <c r="I44" s="63">
        <f>+I42-I43</f>
        <v>44675</v>
      </c>
    </row>
    <row r="45" spans="8:15">
      <c r="H45" s="7" t="str">
        <f>+M41</f>
        <v>Tasa vinculada</v>
      </c>
      <c r="I45" s="114">
        <f>+N41</f>
        <v>0.1235</v>
      </c>
    </row>
    <row r="46" spans="8:15">
      <c r="H46" s="66" t="s">
        <v>296</v>
      </c>
      <c r="I46" s="66">
        <f>+I44*I45</f>
        <v>5517.3625000000002</v>
      </c>
    </row>
    <row r="49" spans="8:12">
      <c r="H49" s="7" t="s">
        <v>276</v>
      </c>
      <c r="I49" s="7">
        <f>+I22</f>
        <v>17750</v>
      </c>
    </row>
    <row r="50" spans="8:12">
      <c r="H50" s="7" t="s">
        <v>277</v>
      </c>
      <c r="I50" s="7">
        <f>+I42</f>
        <v>85004</v>
      </c>
    </row>
    <row r="51" spans="8:12">
      <c r="H51" s="7" t="s">
        <v>297</v>
      </c>
      <c r="I51" s="7">
        <f>+K36</f>
        <v>2326.8516330526318</v>
      </c>
    </row>
    <row r="52" spans="8:12">
      <c r="H52" s="7" t="s">
        <v>298</v>
      </c>
      <c r="I52" s="7">
        <f>+I46</f>
        <v>5517.3625000000002</v>
      </c>
    </row>
    <row r="53" spans="8:12">
      <c r="H53" s="66" t="s">
        <v>299</v>
      </c>
      <c r="I53" s="66">
        <f>+I49+I50-I51-I52</f>
        <v>94909.785866947364</v>
      </c>
    </row>
    <row r="55" spans="8:12">
      <c r="J55" s="7" t="s">
        <v>105</v>
      </c>
      <c r="K55" s="7">
        <v>20000</v>
      </c>
      <c r="L55" s="7">
        <v>20000</v>
      </c>
    </row>
    <row r="56" spans="8:12">
      <c r="J56" s="7" t="s">
        <v>120</v>
      </c>
      <c r="K56" s="7">
        <v>10000</v>
      </c>
    </row>
    <row r="57" spans="8:12">
      <c r="J57" s="7" t="s">
        <v>300</v>
      </c>
      <c r="K57" s="7">
        <f>30*UMA</f>
        <v>2688.6000000000004</v>
      </c>
    </row>
    <row r="58" spans="8:12">
      <c r="J58" s="7" t="s">
        <v>238</v>
      </c>
      <c r="K58" s="7">
        <f>+K55+K56-K57</f>
        <v>27311.4</v>
      </c>
      <c r="L58" s="7">
        <f>+L55+L56-L57</f>
        <v>20000</v>
      </c>
    </row>
    <row r="59" spans="8:12">
      <c r="J59" s="7" t="s">
        <v>239</v>
      </c>
      <c r="K59" s="7">
        <f>VLOOKUP(K58,ISRM,1,1)</f>
        <v>26988.51</v>
      </c>
      <c r="L59" s="7">
        <f>VLOOKUP(L58,ISRM,1,1)</f>
        <v>13381.48</v>
      </c>
    </row>
    <row r="60" spans="8:12">
      <c r="J60" s="7" t="s">
        <v>240</v>
      </c>
      <c r="K60" s="7">
        <f>+K58-K59</f>
        <v>322.89000000000306</v>
      </c>
      <c r="L60" s="7">
        <f>+L58-L59</f>
        <v>6618.52</v>
      </c>
    </row>
    <row r="61" spans="8:12">
      <c r="J61" s="7" t="s">
        <v>241</v>
      </c>
      <c r="K61" s="53">
        <f>VLOOKUP(K58,ISRM,4,1)</f>
        <v>0.23519999999999999</v>
      </c>
      <c r="L61" s="53">
        <f>VLOOKUP(L58,ISRM,4,1)</f>
        <v>0.21359999999999998</v>
      </c>
    </row>
    <row r="62" spans="8:12">
      <c r="J62" s="7" t="s">
        <v>242</v>
      </c>
      <c r="K62" s="7">
        <f>+K61*K60</f>
        <v>75.943728000000718</v>
      </c>
      <c r="L62" s="7">
        <f>+L61*L60</f>
        <v>1413.715872</v>
      </c>
    </row>
    <row r="63" spans="8:12">
      <c r="J63" s="7" t="s">
        <v>209</v>
      </c>
      <c r="K63" s="7">
        <f>VLOOKUP(K58,ISRM,3,1)</f>
        <v>4323.58</v>
      </c>
      <c r="L63" s="7">
        <f>VLOOKUP(L58,ISRM,3,1)</f>
        <v>1417.12</v>
      </c>
    </row>
    <row r="64" spans="8:12">
      <c r="J64" s="66" t="s">
        <v>243</v>
      </c>
      <c r="K64" s="66">
        <f>+K62+K63</f>
        <v>4399.523728000001</v>
      </c>
      <c r="L64" s="66">
        <f>+L62+L63</f>
        <v>2830.8358719999997</v>
      </c>
    </row>
    <row r="65" spans="10:12">
      <c r="L65" s="7">
        <f>+K64-L64</f>
        <v>1568.6878560000014</v>
      </c>
    </row>
    <row r="67" spans="10:12">
      <c r="J67" s="7" t="s">
        <v>301</v>
      </c>
    </row>
    <row r="68" spans="10:12">
      <c r="J68" s="7" t="s">
        <v>120</v>
      </c>
      <c r="K68" s="7">
        <f>+K56-K57</f>
        <v>7311.4</v>
      </c>
    </row>
    <row r="69" spans="10:12">
      <c r="J69" s="7" t="s">
        <v>302</v>
      </c>
      <c r="K69" s="7">
        <v>365</v>
      </c>
    </row>
    <row r="70" spans="10:12">
      <c r="J70" s="66" t="s">
        <v>303</v>
      </c>
      <c r="K70" s="66">
        <f>+K68/K69</f>
        <v>20.031232876712327</v>
      </c>
    </row>
    <row r="71" spans="10:12">
      <c r="J71" s="7" t="s">
        <v>304</v>
      </c>
      <c r="K71" s="7">
        <v>30.4</v>
      </c>
    </row>
    <row r="72" spans="10:12">
      <c r="J72" s="66" t="s">
        <v>305</v>
      </c>
      <c r="K72" s="66">
        <f>+K70*K71</f>
        <v>608.94947945205467</v>
      </c>
    </row>
    <row r="74" spans="10:12">
      <c r="J74" s="7" t="s">
        <v>306</v>
      </c>
    </row>
    <row r="75" spans="10:12">
      <c r="J75" s="7" t="s">
        <v>292</v>
      </c>
      <c r="K75" s="7">
        <f>+L58</f>
        <v>20000</v>
      </c>
    </row>
    <row r="76" spans="10:12">
      <c r="J76" s="7" t="s">
        <v>305</v>
      </c>
      <c r="K76" s="7">
        <f>+K72</f>
        <v>608.94947945205467</v>
      </c>
    </row>
    <row r="77" spans="10:12">
      <c r="J77" s="7" t="s">
        <v>307</v>
      </c>
      <c r="K77" s="7">
        <f>+K76+K75</f>
        <v>20608.949479452054</v>
      </c>
    </row>
    <row r="78" spans="10:12">
      <c r="J78" s="7" t="s">
        <v>239</v>
      </c>
      <c r="K78" s="7">
        <f>VLOOKUP(K77,ISRM,1,1)</f>
        <v>13381.48</v>
      </c>
    </row>
    <row r="79" spans="10:12">
      <c r="J79" s="7" t="s">
        <v>240</v>
      </c>
      <c r="K79" s="7">
        <f>+K77-K78</f>
        <v>7227.4694794520547</v>
      </c>
    </row>
    <row r="80" spans="10:12">
      <c r="J80" s="7" t="s">
        <v>241</v>
      </c>
      <c r="K80" s="53">
        <f>VLOOKUP(K77,ISRM,4,1)</f>
        <v>0.21359999999999998</v>
      </c>
    </row>
    <row r="81" spans="10:12">
      <c r="J81" s="7" t="s">
        <v>242</v>
      </c>
      <c r="K81" s="7">
        <f>+K80*K79</f>
        <v>1543.7874808109589</v>
      </c>
    </row>
    <row r="82" spans="10:12">
      <c r="J82" s="7" t="s">
        <v>209</v>
      </c>
      <c r="K82" s="7">
        <f>VLOOKUP(K77,ISRM,3,1)</f>
        <v>1417.12</v>
      </c>
    </row>
    <row r="83" spans="10:12">
      <c r="J83" s="66" t="s">
        <v>243</v>
      </c>
      <c r="K83" s="66">
        <f>+K81+K82</f>
        <v>2960.907480810959</v>
      </c>
    </row>
    <row r="85" spans="10:12">
      <c r="J85" s="7" t="s">
        <v>308</v>
      </c>
    </row>
    <row r="86" spans="10:12">
      <c r="J86" s="7" t="s">
        <v>309</v>
      </c>
      <c r="K86" s="7">
        <f>+K83</f>
        <v>2960.907480810959</v>
      </c>
    </row>
    <row r="87" spans="10:12">
      <c r="J87" s="7" t="s">
        <v>291</v>
      </c>
      <c r="K87" s="7">
        <f>+L64</f>
        <v>2830.8358719999997</v>
      </c>
    </row>
    <row r="88" spans="10:12">
      <c r="J88" s="66" t="s">
        <v>195</v>
      </c>
      <c r="K88" s="66">
        <f>+K86-K87</f>
        <v>130.07160881095933</v>
      </c>
      <c r="L88" s="9">
        <f>+K76</f>
        <v>608.94947945205467</v>
      </c>
    </row>
    <row r="90" spans="10:12">
      <c r="J90" s="7" t="s">
        <v>310</v>
      </c>
    </row>
    <row r="91" spans="10:12" ht="16">
      <c r="J91" s="7" t="s">
        <v>195</v>
      </c>
      <c r="K91" s="112">
        <f>+K88</f>
        <v>130.07160881095933</v>
      </c>
      <c r="L91" s="53">
        <f>+K91/K92</f>
        <v>0.21360000000000073</v>
      </c>
    </row>
    <row r="92" spans="10:12">
      <c r="J92" s="7" t="s">
        <v>311</v>
      </c>
      <c r="K92" s="7">
        <f>+L88</f>
        <v>608.94947945205467</v>
      </c>
    </row>
    <row r="94" spans="10:12">
      <c r="J94" s="7" t="s">
        <v>312</v>
      </c>
    </row>
    <row r="96" spans="10:12">
      <c r="J96" s="7" t="s">
        <v>313</v>
      </c>
      <c r="K96" s="67">
        <f>+L91</f>
        <v>0.21360000000000073</v>
      </c>
    </row>
    <row r="97" spans="10:12">
      <c r="J97" s="7" t="s">
        <v>314</v>
      </c>
      <c r="K97" s="7">
        <f>+K68</f>
        <v>7311.4</v>
      </c>
    </row>
    <row r="98" spans="10:12">
      <c r="J98" s="66" t="s">
        <v>315</v>
      </c>
      <c r="K98" s="66">
        <f>+K97*K96</f>
        <v>1561.7150400000053</v>
      </c>
    </row>
    <row r="99" spans="10:12">
      <c r="J99" s="7" t="s">
        <v>291</v>
      </c>
      <c r="K99" s="7">
        <f>+L64</f>
        <v>2830.8358719999997</v>
      </c>
    </row>
    <row r="100" spans="10:12">
      <c r="J100" s="7" t="s">
        <v>316</v>
      </c>
      <c r="K100" s="7">
        <f>+K99+K98</f>
        <v>4392.5509120000052</v>
      </c>
      <c r="L100" s="7" t="s">
        <v>317</v>
      </c>
    </row>
    <row r="101" spans="10:12">
      <c r="K101" s="7">
        <f>+K64</f>
        <v>4399.523728000001</v>
      </c>
      <c r="L101" s="7" t="s">
        <v>318</v>
      </c>
    </row>
    <row r="102" spans="10:12">
      <c r="K102" s="63">
        <f>+K101-K100</f>
        <v>6.9728159999958734</v>
      </c>
      <c r="L102" s="63" t="s">
        <v>195</v>
      </c>
    </row>
    <row r="103" spans="10:12">
      <c r="L103" s="7" t="s">
        <v>319</v>
      </c>
    </row>
    <row r="104" spans="10:12">
      <c r="L104" s="7" t="s">
        <v>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9A96-02D2-4A52-AC0F-349E5C1419BC}">
  <dimension ref="B2:I18"/>
  <sheetViews>
    <sheetView topLeftCell="A5" zoomScale="150" zoomScaleNormal="150" workbookViewId="0">
      <selection activeCell="H22" sqref="H22"/>
    </sheetView>
  </sheetViews>
  <sheetFormatPr baseColWidth="10" defaultColWidth="11.54296875" defaultRowHeight="14.5"/>
  <cols>
    <col min="1" max="1" width="11.54296875" style="7"/>
    <col min="2" max="2" width="13.1796875" style="7" bestFit="1" customWidth="1"/>
    <col min="3" max="16384" width="11.54296875" style="7"/>
  </cols>
  <sheetData>
    <row r="2" spans="2:9">
      <c r="B2" s="7" t="s">
        <v>119</v>
      </c>
      <c r="C2" s="7">
        <v>800</v>
      </c>
      <c r="D2" s="7" t="s">
        <v>218</v>
      </c>
      <c r="E2" s="7">
        <f>+C2/8</f>
        <v>100</v>
      </c>
      <c r="F2" s="7" t="s">
        <v>49</v>
      </c>
      <c r="G2" s="7">
        <f>+E2*2</f>
        <v>200</v>
      </c>
      <c r="H2" s="7" t="s">
        <v>219</v>
      </c>
      <c r="I2" s="7">
        <f>+G2+E2</f>
        <v>300</v>
      </c>
    </row>
    <row r="3" spans="2:9">
      <c r="C3" s="62" t="s">
        <v>225</v>
      </c>
      <c r="D3" s="62" t="s">
        <v>226</v>
      </c>
      <c r="E3" s="7" t="s">
        <v>223</v>
      </c>
      <c r="F3" s="7">
        <f>+UMA</f>
        <v>89.62</v>
      </c>
      <c r="G3" s="7" t="s">
        <v>224</v>
      </c>
      <c r="H3" s="7">
        <f>+F3*5</f>
        <v>448.1</v>
      </c>
    </row>
    <row r="4" spans="2:9">
      <c r="B4" s="7" t="s">
        <v>45</v>
      </c>
      <c r="C4" s="7">
        <v>3</v>
      </c>
      <c r="D4" s="7">
        <v>5</v>
      </c>
    </row>
    <row r="5" spans="2:9">
      <c r="B5" s="7" t="s">
        <v>46</v>
      </c>
      <c r="C5" s="7">
        <v>3</v>
      </c>
      <c r="D5" s="7">
        <v>4</v>
      </c>
    </row>
    <row r="6" spans="2:9">
      <c r="B6" s="7" t="s">
        <v>213</v>
      </c>
      <c r="C6" s="7">
        <v>3</v>
      </c>
    </row>
    <row r="7" spans="2:9">
      <c r="B7" s="7" t="s">
        <v>214</v>
      </c>
    </row>
    <row r="8" spans="2:9">
      <c r="B8" s="7" t="s">
        <v>215</v>
      </c>
    </row>
    <row r="9" spans="2:9">
      <c r="B9" s="7" t="s">
        <v>216</v>
      </c>
    </row>
    <row r="10" spans="2:9">
      <c r="B10" s="7" t="s">
        <v>217</v>
      </c>
    </row>
    <row r="11" spans="2:9">
      <c r="C11" s="7">
        <f>SUM(C4:C10)</f>
        <v>9</v>
      </c>
    </row>
    <row r="12" spans="2:9">
      <c r="B12" s="9" t="s">
        <v>49</v>
      </c>
      <c r="C12" s="9">
        <f>+C11*G2</f>
        <v>1800</v>
      </c>
      <c r="E12" s="7" t="s">
        <v>222</v>
      </c>
    </row>
    <row r="13" spans="2:9">
      <c r="B13" s="64" t="s">
        <v>220</v>
      </c>
      <c r="C13" s="64">
        <f>+C12*0.5</f>
        <v>900</v>
      </c>
      <c r="D13" s="7">
        <f>+H3</f>
        <v>448.1</v>
      </c>
    </row>
    <row r="14" spans="2:9">
      <c r="B14" s="7" t="s">
        <v>221</v>
      </c>
      <c r="C14" s="64">
        <f>+C13</f>
        <v>900</v>
      </c>
      <c r="D14" s="7">
        <f>+C12-D13</f>
        <v>1351.9</v>
      </c>
    </row>
    <row r="15" spans="2:9">
      <c r="E15" s="65">
        <v>0.5</v>
      </c>
      <c r="F15" s="65">
        <v>0.5</v>
      </c>
      <c r="G15" s="7" t="s">
        <v>189</v>
      </c>
      <c r="H15" s="7" t="s">
        <v>229</v>
      </c>
    </row>
    <row r="16" spans="2:9">
      <c r="B16" s="7" t="s">
        <v>227</v>
      </c>
      <c r="C16" s="7">
        <v>6</v>
      </c>
      <c r="D16" s="7">
        <f>+C16*G2</f>
        <v>1200</v>
      </c>
      <c r="E16" s="64">
        <f>+D16*E15</f>
        <v>600</v>
      </c>
      <c r="F16" s="64">
        <f>+F15*D16</f>
        <v>600</v>
      </c>
      <c r="G16" s="7">
        <f>+D13</f>
        <v>448.1</v>
      </c>
      <c r="H16" s="7">
        <f>+D16-G16</f>
        <v>751.9</v>
      </c>
    </row>
    <row r="17" spans="2:8">
      <c r="B17" s="7" t="s">
        <v>228</v>
      </c>
      <c r="C17" s="7">
        <v>3</v>
      </c>
      <c r="D17" s="7" t="s">
        <v>230</v>
      </c>
      <c r="E17" s="7">
        <f>+C17*G2</f>
        <v>600</v>
      </c>
      <c r="H17" s="7">
        <f>+E17</f>
        <v>600</v>
      </c>
    </row>
    <row r="18" spans="2:8">
      <c r="G18" s="9">
        <f>SUM(G16:G17)</f>
        <v>448.1</v>
      </c>
      <c r="H18" s="9">
        <f>SUM(H16:H17)</f>
        <v>1351.9</v>
      </c>
    </row>
  </sheetData>
  <phoneticPr fontId="4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7D385-455D-40EA-8A9E-F226705C74F0}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9935B-CD6B-4C5A-9082-663BE2AC294E}">
  <dimension ref="A2:T69"/>
  <sheetViews>
    <sheetView topLeftCell="I1" zoomScale="120" zoomScaleNormal="120" workbookViewId="0">
      <selection activeCell="K4" sqref="K4"/>
    </sheetView>
  </sheetViews>
  <sheetFormatPr baseColWidth="10" defaultRowHeight="14.5"/>
  <cols>
    <col min="1" max="1" width="5" customWidth="1"/>
    <col min="2" max="2" width="11.36328125" customWidth="1"/>
    <col min="5" max="5" width="4.36328125" customWidth="1"/>
    <col min="9" max="9" width="5.6328125" customWidth="1"/>
    <col min="10" max="10" width="21.6328125" customWidth="1"/>
    <col min="13" max="13" width="11.453125" bestFit="1" customWidth="1"/>
    <col min="16" max="16" width="11.453125" bestFit="1" customWidth="1"/>
  </cols>
  <sheetData>
    <row r="2" spans="2:15" ht="29">
      <c r="B2" s="136" t="s">
        <v>0</v>
      </c>
      <c r="C2" s="136"/>
      <c r="D2" s="136"/>
      <c r="F2" s="137" t="s">
        <v>0</v>
      </c>
      <c r="G2" s="137"/>
      <c r="H2" s="137"/>
      <c r="J2" s="44" t="s">
        <v>99</v>
      </c>
      <c r="K2" s="44" t="s">
        <v>100</v>
      </c>
      <c r="L2" s="44" t="s">
        <v>101</v>
      </c>
      <c r="M2" s="44" t="s">
        <v>102</v>
      </c>
      <c r="N2" s="44" t="s">
        <v>103</v>
      </c>
      <c r="O2" s="28">
        <v>1</v>
      </c>
    </row>
    <row r="3" spans="2:15">
      <c r="B3" s="2" t="s">
        <v>1</v>
      </c>
      <c r="C3" s="2" t="s">
        <v>2</v>
      </c>
      <c r="D3" s="2" t="s">
        <v>3</v>
      </c>
      <c r="F3" s="29" t="s">
        <v>1</v>
      </c>
      <c r="G3" s="29" t="s">
        <v>2</v>
      </c>
      <c r="H3" s="29" t="s">
        <v>3</v>
      </c>
      <c r="J3" s="1" t="s">
        <v>111</v>
      </c>
      <c r="K3" s="45">
        <v>40257</v>
      </c>
      <c r="L3" s="45">
        <v>41197</v>
      </c>
      <c r="M3" s="45">
        <v>42806</v>
      </c>
      <c r="N3" s="45">
        <v>43501</v>
      </c>
      <c r="O3" s="50">
        <v>2</v>
      </c>
    </row>
    <row r="4" spans="2:15">
      <c r="B4" s="3">
        <v>0</v>
      </c>
      <c r="C4" s="3">
        <v>1</v>
      </c>
      <c r="D4" s="3">
        <v>6</v>
      </c>
      <c r="F4" s="3">
        <v>0</v>
      </c>
      <c r="G4" s="3">
        <v>1</v>
      </c>
      <c r="H4" s="3">
        <v>6</v>
      </c>
      <c r="J4" s="1" t="s">
        <v>112</v>
      </c>
      <c r="K4" s="45">
        <f ca="1">TODAY()</f>
        <v>44239</v>
      </c>
      <c r="L4" s="45">
        <f t="shared" ref="L4:N4" ca="1" si="0">TODAY()</f>
        <v>44239</v>
      </c>
      <c r="M4" s="45">
        <f t="shared" ca="1" si="0"/>
        <v>44239</v>
      </c>
      <c r="N4" s="45">
        <f t="shared" ca="1" si="0"/>
        <v>44239</v>
      </c>
      <c r="O4" s="28">
        <v>3</v>
      </c>
    </row>
    <row r="5" spans="2:15">
      <c r="B5" s="3">
        <f>+C4+0.01</f>
        <v>1.01</v>
      </c>
      <c r="C5" s="3">
        <f>+C4+1</f>
        <v>2</v>
      </c>
      <c r="D5" s="3">
        <f>+D4+2</f>
        <v>8</v>
      </c>
      <c r="F5" s="3">
        <f>+G4+0.01</f>
        <v>1.01</v>
      </c>
      <c r="G5" s="3">
        <f>+G4+1</f>
        <v>2</v>
      </c>
      <c r="H5" s="3">
        <f>+H4+2</f>
        <v>8</v>
      </c>
      <c r="J5" s="1" t="s">
        <v>113</v>
      </c>
      <c r="K5" s="3">
        <f ca="1">DATEDIF(K3,K4,"y")</f>
        <v>10</v>
      </c>
      <c r="L5" s="3">
        <f t="shared" ref="L5:N5" ca="1" si="1">DATEDIF(L3,L4,"y")</f>
        <v>8</v>
      </c>
      <c r="M5" s="3">
        <f t="shared" ca="1" si="1"/>
        <v>3</v>
      </c>
      <c r="N5" s="3">
        <f t="shared" ca="1" si="1"/>
        <v>2</v>
      </c>
      <c r="O5" s="50">
        <v>4</v>
      </c>
    </row>
    <row r="6" spans="2:15">
      <c r="B6" s="3">
        <f t="shared" ref="B6:B18" si="2">+C5+0.01</f>
        <v>2.0099999999999998</v>
      </c>
      <c r="C6" s="3">
        <f t="shared" ref="C6:C8" si="3">+C5+1</f>
        <v>3</v>
      </c>
      <c r="D6" s="3">
        <f t="shared" ref="D6:D8" si="4">+D5+2</f>
        <v>10</v>
      </c>
      <c r="F6" s="3">
        <f t="shared" ref="F6:F18" si="5">+G5+0.01</f>
        <v>2.0099999999999998</v>
      </c>
      <c r="G6" s="3">
        <f t="shared" ref="G6" si="6">+G5+1</f>
        <v>3</v>
      </c>
      <c r="H6" s="3">
        <f t="shared" ref="H6:H8" si="7">+H5+2</f>
        <v>10</v>
      </c>
      <c r="J6" s="1" t="s">
        <v>114</v>
      </c>
      <c r="K6" s="3">
        <f ca="1">DATEDIF(K3,K4,"ym")</f>
        <v>10</v>
      </c>
      <c r="L6" s="3">
        <f t="shared" ref="L6:N6" ca="1" si="8">DATEDIF(L3,L4,"ym")</f>
        <v>3</v>
      </c>
      <c r="M6" s="3">
        <f t="shared" ca="1" si="8"/>
        <v>11</v>
      </c>
      <c r="N6" s="3">
        <f t="shared" ca="1" si="8"/>
        <v>0</v>
      </c>
      <c r="O6" s="28">
        <v>5</v>
      </c>
    </row>
    <row r="7" spans="2:15">
      <c r="B7" s="3">
        <f t="shared" si="2"/>
        <v>3.01</v>
      </c>
      <c r="C7" s="3">
        <f t="shared" si="3"/>
        <v>4</v>
      </c>
      <c r="D7" s="3">
        <f t="shared" si="4"/>
        <v>12</v>
      </c>
      <c r="F7" s="3">
        <f t="shared" si="5"/>
        <v>3.01</v>
      </c>
      <c r="G7" s="3">
        <f>+G6+1</f>
        <v>4</v>
      </c>
      <c r="H7" s="3">
        <f t="shared" si="7"/>
        <v>12</v>
      </c>
      <c r="J7" s="1" t="s">
        <v>3</v>
      </c>
      <c r="K7" s="3">
        <f ca="1">DATEDIF(K3,K4,"md")</f>
        <v>23</v>
      </c>
      <c r="L7" s="3">
        <f t="shared" ref="L7:N7" ca="1" si="9">DATEDIF(L3,L4,"md")</f>
        <v>28</v>
      </c>
      <c r="M7" s="3">
        <f t="shared" ca="1" si="9"/>
        <v>0</v>
      </c>
      <c r="N7" s="3">
        <f t="shared" ca="1" si="9"/>
        <v>7</v>
      </c>
      <c r="O7" s="50">
        <v>6</v>
      </c>
    </row>
    <row r="8" spans="2:15">
      <c r="B8" s="3">
        <f t="shared" si="2"/>
        <v>4.01</v>
      </c>
      <c r="C8" s="3">
        <f>+C7+5</f>
        <v>9</v>
      </c>
      <c r="D8" s="3">
        <f t="shared" si="4"/>
        <v>14</v>
      </c>
      <c r="F8" s="3">
        <f t="shared" si="5"/>
        <v>4.01</v>
      </c>
      <c r="G8" s="3">
        <f>+G7+5</f>
        <v>9</v>
      </c>
      <c r="H8" s="3">
        <f t="shared" si="7"/>
        <v>14</v>
      </c>
      <c r="J8" s="1" t="s">
        <v>115</v>
      </c>
      <c r="K8" s="166">
        <f ca="1">K5+K6/12+K7/365</f>
        <v>10.896347031963471</v>
      </c>
      <c r="L8" s="166">
        <f t="shared" ref="L8:N8" ca="1" si="10">L5+L6/12+L7/365</f>
        <v>8.3267123287671225</v>
      </c>
      <c r="M8" s="166">
        <f t="shared" ca="1" si="10"/>
        <v>3.9166666666666665</v>
      </c>
      <c r="N8" s="166">
        <f t="shared" ca="1" si="10"/>
        <v>2.0191780821917806</v>
      </c>
      <c r="O8" s="28">
        <v>7</v>
      </c>
    </row>
    <row r="9" spans="2:15">
      <c r="B9" s="3">
        <f t="shared" si="2"/>
        <v>9.01</v>
      </c>
      <c r="C9" s="3">
        <f t="shared" ref="C9:C18" si="11">+C8+5</f>
        <v>14</v>
      </c>
      <c r="D9" s="3">
        <f t="shared" ref="D9:D18" si="12">+D8+2</f>
        <v>16</v>
      </c>
      <c r="F9" s="48">
        <f t="shared" si="5"/>
        <v>9.01</v>
      </c>
      <c r="G9" s="48">
        <f t="shared" ref="G9:G18" si="13">+G8+5</f>
        <v>14</v>
      </c>
      <c r="H9" s="48">
        <f t="shared" ref="H9:H18" si="14">+H8+2</f>
        <v>16</v>
      </c>
      <c r="J9" s="1" t="s">
        <v>116</v>
      </c>
      <c r="K9" s="3">
        <f ca="1">VLOOKUP(K8,Vacaciones,3,1)</f>
        <v>16</v>
      </c>
      <c r="L9" s="3">
        <f ca="1">VLOOKUP(L8,Vacaciones,3,1)</f>
        <v>14</v>
      </c>
      <c r="M9" s="3">
        <f ca="1">VLOOKUP(M8,Vacaciones,3,1)</f>
        <v>12</v>
      </c>
      <c r="N9" s="3">
        <f ca="1">VLOOKUP(N8,Vacaciones,3,1)</f>
        <v>10</v>
      </c>
      <c r="O9" s="50">
        <v>8</v>
      </c>
    </row>
    <row r="10" spans="2:15">
      <c r="B10" s="3">
        <f t="shared" si="2"/>
        <v>14.01</v>
      </c>
      <c r="C10" s="3">
        <f t="shared" si="11"/>
        <v>19</v>
      </c>
      <c r="D10" s="3">
        <f t="shared" si="12"/>
        <v>18</v>
      </c>
      <c r="F10" s="3">
        <f t="shared" si="5"/>
        <v>14.01</v>
      </c>
      <c r="G10" s="3">
        <f t="shared" si="13"/>
        <v>19</v>
      </c>
      <c r="H10" s="3">
        <f t="shared" si="14"/>
        <v>18</v>
      </c>
    </row>
    <row r="11" spans="2:15">
      <c r="B11" s="3">
        <f t="shared" si="2"/>
        <v>19.010000000000002</v>
      </c>
      <c r="C11" s="3">
        <f t="shared" si="11"/>
        <v>24</v>
      </c>
      <c r="D11" s="3">
        <f t="shared" si="12"/>
        <v>20</v>
      </c>
      <c r="F11" s="3">
        <f t="shared" si="5"/>
        <v>19.010000000000002</v>
      </c>
      <c r="G11" s="3">
        <f t="shared" si="13"/>
        <v>24</v>
      </c>
      <c r="H11" s="3">
        <f t="shared" si="14"/>
        <v>20</v>
      </c>
      <c r="K11" s="173">
        <f ca="1">VLOOKUP((DATEDIF(K3,K4,"y")+DATEDIF(K3,K4,"ym")/12+DATEDIF(K3,K4,"md")/365),Vacaciones,3,1)</f>
        <v>16</v>
      </c>
      <c r="L11" s="7"/>
    </row>
    <row r="12" spans="2:15">
      <c r="B12" s="3">
        <f t="shared" si="2"/>
        <v>24.01</v>
      </c>
      <c r="C12" s="3">
        <f t="shared" si="11"/>
        <v>29</v>
      </c>
      <c r="D12" s="3">
        <f t="shared" si="12"/>
        <v>22</v>
      </c>
      <c r="F12" s="3">
        <f t="shared" si="5"/>
        <v>24.01</v>
      </c>
      <c r="G12" s="3">
        <f t="shared" si="13"/>
        <v>29</v>
      </c>
      <c r="H12" s="3">
        <f t="shared" si="14"/>
        <v>22</v>
      </c>
    </row>
    <row r="13" spans="2:15">
      <c r="B13" s="3">
        <f t="shared" si="2"/>
        <v>29.01</v>
      </c>
      <c r="C13" s="3">
        <f t="shared" si="11"/>
        <v>34</v>
      </c>
      <c r="D13" s="3">
        <f t="shared" si="12"/>
        <v>24</v>
      </c>
      <c r="F13" s="3">
        <f t="shared" si="5"/>
        <v>29.01</v>
      </c>
      <c r="G13" s="3">
        <f t="shared" si="13"/>
        <v>34</v>
      </c>
      <c r="H13" s="3">
        <f t="shared" si="14"/>
        <v>24</v>
      </c>
      <c r="J13" s="46"/>
      <c r="K13" s="20"/>
      <c r="L13" s="7"/>
    </row>
    <row r="14" spans="2:15">
      <c r="B14" s="3">
        <f t="shared" si="2"/>
        <v>34.01</v>
      </c>
      <c r="C14" s="3">
        <f t="shared" si="11"/>
        <v>39</v>
      </c>
      <c r="D14" s="3">
        <f t="shared" si="12"/>
        <v>26</v>
      </c>
      <c r="F14" s="3">
        <f t="shared" si="5"/>
        <v>34.01</v>
      </c>
      <c r="G14" s="3">
        <f t="shared" si="13"/>
        <v>39</v>
      </c>
      <c r="H14" s="3">
        <f t="shared" si="14"/>
        <v>26</v>
      </c>
      <c r="K14" s="20"/>
      <c r="L14" s="7"/>
    </row>
    <row r="15" spans="2:15">
      <c r="B15" s="3">
        <f t="shared" si="2"/>
        <v>39.01</v>
      </c>
      <c r="C15" s="3">
        <f t="shared" si="11"/>
        <v>44</v>
      </c>
      <c r="D15" s="3">
        <f t="shared" si="12"/>
        <v>28</v>
      </c>
      <c r="F15" s="3">
        <f t="shared" si="5"/>
        <v>39.01</v>
      </c>
      <c r="G15" s="3">
        <f t="shared" si="13"/>
        <v>44</v>
      </c>
      <c r="H15" s="3">
        <f t="shared" si="14"/>
        <v>28</v>
      </c>
    </row>
    <row r="16" spans="2:15">
      <c r="B16" s="3">
        <f t="shared" si="2"/>
        <v>44.01</v>
      </c>
      <c r="C16" s="3">
        <f t="shared" si="11"/>
        <v>49</v>
      </c>
      <c r="D16" s="3">
        <f t="shared" si="12"/>
        <v>30</v>
      </c>
      <c r="F16" s="3">
        <f t="shared" si="5"/>
        <v>44.01</v>
      </c>
      <c r="G16" s="3">
        <f t="shared" si="13"/>
        <v>49</v>
      </c>
      <c r="H16" s="3">
        <f t="shared" si="14"/>
        <v>30</v>
      </c>
      <c r="K16" s="20"/>
      <c r="L16" s="20"/>
    </row>
    <row r="17" spans="2:20">
      <c r="B17" s="3">
        <f t="shared" si="2"/>
        <v>49.01</v>
      </c>
      <c r="C17" s="3">
        <f t="shared" si="11"/>
        <v>54</v>
      </c>
      <c r="D17" s="3">
        <f t="shared" si="12"/>
        <v>32</v>
      </c>
      <c r="F17" s="3">
        <f t="shared" si="5"/>
        <v>49.01</v>
      </c>
      <c r="G17" s="3">
        <f t="shared" si="13"/>
        <v>54</v>
      </c>
      <c r="H17" s="3">
        <f t="shared" si="14"/>
        <v>32</v>
      </c>
      <c r="K17" s="7"/>
      <c r="L17" s="7"/>
    </row>
    <row r="18" spans="2:20">
      <c r="B18" s="3">
        <f t="shared" si="2"/>
        <v>54.01</v>
      </c>
      <c r="C18" s="3">
        <f t="shared" si="11"/>
        <v>59</v>
      </c>
      <c r="D18" s="3">
        <f t="shared" si="12"/>
        <v>34</v>
      </c>
      <c r="F18" s="3">
        <f t="shared" si="5"/>
        <v>54.01</v>
      </c>
      <c r="G18" s="3">
        <f t="shared" si="13"/>
        <v>59</v>
      </c>
      <c r="H18" s="3">
        <f t="shared" si="14"/>
        <v>34</v>
      </c>
      <c r="L18" s="47"/>
    </row>
    <row r="20" spans="2:20">
      <c r="F20" s="4" t="s">
        <v>4</v>
      </c>
      <c r="L20" s="7"/>
    </row>
    <row r="23" spans="2:20">
      <c r="B23" t="s">
        <v>56</v>
      </c>
      <c r="C23" s="20">
        <v>43466</v>
      </c>
    </row>
    <row r="24" spans="2:20">
      <c r="B24" t="s">
        <v>57</v>
      </c>
      <c r="C24" s="20">
        <f>+C23+365</f>
        <v>43831</v>
      </c>
      <c r="D24" t="s">
        <v>58</v>
      </c>
    </row>
    <row r="25" spans="2:20">
      <c r="Q25" s="7"/>
    </row>
    <row r="26" spans="2:20">
      <c r="B26" t="s">
        <v>59</v>
      </c>
      <c r="C26" t="s">
        <v>60</v>
      </c>
    </row>
    <row r="28" spans="2:20" ht="29">
      <c r="J28" s="51" t="s">
        <v>99</v>
      </c>
      <c r="K28" s="51" t="s">
        <v>118</v>
      </c>
      <c r="L28" s="51" t="s">
        <v>119</v>
      </c>
      <c r="M28" s="51" t="s">
        <v>121</v>
      </c>
      <c r="N28" s="51" t="s">
        <v>120</v>
      </c>
      <c r="O28" s="132" t="s">
        <v>117</v>
      </c>
      <c r="P28" s="51" t="s">
        <v>123</v>
      </c>
      <c r="Q28" s="51" t="s">
        <v>124</v>
      </c>
      <c r="S28" s="49" t="s">
        <v>116</v>
      </c>
      <c r="T28" s="49" t="s">
        <v>122</v>
      </c>
    </row>
    <row r="29" spans="2:20">
      <c r="J29" s="27" t="str">
        <f>+Hoja1!B17</f>
        <v>Pedro Juárez</v>
      </c>
      <c r="K29" s="5">
        <f>VLOOKUP(J29,datos,3,0)</f>
        <v>10000</v>
      </c>
      <c r="L29" s="5">
        <f>+K29/30</f>
        <v>333.33333333333331</v>
      </c>
      <c r="M29" s="5">
        <f>+L29*365</f>
        <v>121666.66666666666</v>
      </c>
      <c r="N29" s="5">
        <f>+L29*15</f>
        <v>5000</v>
      </c>
      <c r="O29" s="5">
        <f ca="1">+T29*25%</f>
        <v>1333.3333333333333</v>
      </c>
      <c r="P29" s="5">
        <f ca="1">+M29+N29+O29</f>
        <v>127999.99999999999</v>
      </c>
      <c r="Q29" s="10">
        <f ca="1">+P29/365</f>
        <v>350.6849315068493</v>
      </c>
      <c r="S29" s="28">
        <f ca="1">HLOOKUP(J29,dias,8,0)</f>
        <v>16</v>
      </c>
      <c r="T29" s="47">
        <f ca="1">+S29*L29</f>
        <v>5333.333333333333</v>
      </c>
    </row>
    <row r="30" spans="2:20">
      <c r="J30" s="27" t="str">
        <f>+Hoja1!B18</f>
        <v>Pedro López</v>
      </c>
      <c r="K30" s="5">
        <f>VLOOKUP(J30,datos,3,0)</f>
        <v>8000</v>
      </c>
      <c r="L30" s="5">
        <f t="shared" ref="L30:L32" si="15">+K30/30</f>
        <v>266.66666666666669</v>
      </c>
      <c r="M30" s="5">
        <f t="shared" ref="M30:M32" si="16">+L30*365</f>
        <v>97333.333333333343</v>
      </c>
      <c r="N30" s="5">
        <f t="shared" ref="N30:N32" si="17">+L30*15</f>
        <v>4000.0000000000005</v>
      </c>
      <c r="O30" s="5">
        <f t="shared" ref="O30:O32" ca="1" si="18">+T30*25%</f>
        <v>933.33333333333337</v>
      </c>
      <c r="P30" s="5">
        <f t="shared" ref="P30:P32" ca="1" si="19">+M30+N30+O30</f>
        <v>102266.66666666667</v>
      </c>
      <c r="Q30" s="10">
        <f t="shared" ref="Q30:Q32" ca="1" si="20">+P30/365</f>
        <v>280.1826484018265</v>
      </c>
      <c r="S30" s="28">
        <f ca="1">HLOOKUP(J30,dias,8,0)</f>
        <v>14</v>
      </c>
      <c r="T30" s="47">
        <f t="shared" ref="T30:T32" ca="1" si="21">+S30*L30</f>
        <v>3733.3333333333335</v>
      </c>
    </row>
    <row r="31" spans="2:20">
      <c r="J31" s="27" t="str">
        <f>+Hoja1!B19</f>
        <v>Juan Rios</v>
      </c>
      <c r="K31" s="5">
        <f>VLOOKUP(J31,datos,3,0)</f>
        <v>9000</v>
      </c>
      <c r="L31" s="5">
        <f t="shared" si="15"/>
        <v>300</v>
      </c>
      <c r="M31" s="5">
        <f t="shared" si="16"/>
        <v>109500</v>
      </c>
      <c r="N31" s="5">
        <f t="shared" si="17"/>
        <v>4500</v>
      </c>
      <c r="O31" s="5">
        <f t="shared" ca="1" si="18"/>
        <v>900</v>
      </c>
      <c r="P31" s="5">
        <f t="shared" ca="1" si="19"/>
        <v>114900</v>
      </c>
      <c r="Q31" s="10">
        <f t="shared" ca="1" si="20"/>
        <v>314.79452054794518</v>
      </c>
      <c r="S31" s="28">
        <f ca="1">HLOOKUP(J31,dias,8,0)</f>
        <v>12</v>
      </c>
      <c r="T31" s="47">
        <f t="shared" ca="1" si="21"/>
        <v>3600</v>
      </c>
    </row>
    <row r="32" spans="2:20">
      <c r="J32" s="27" t="str">
        <f>+Hoja1!B20</f>
        <v>Sergio Sánchez</v>
      </c>
      <c r="K32" s="5">
        <f>VLOOKUP(J32,datos,3,0)</f>
        <v>12000</v>
      </c>
      <c r="L32" s="5">
        <f t="shared" si="15"/>
        <v>400</v>
      </c>
      <c r="M32" s="5">
        <f t="shared" si="16"/>
        <v>146000</v>
      </c>
      <c r="N32" s="5">
        <f t="shared" si="17"/>
        <v>6000</v>
      </c>
      <c r="O32" s="5">
        <f t="shared" ca="1" si="18"/>
        <v>1000</v>
      </c>
      <c r="P32" s="5">
        <f t="shared" ca="1" si="19"/>
        <v>153000</v>
      </c>
      <c r="Q32" s="10">
        <f t="shared" ca="1" si="20"/>
        <v>419.17808219178085</v>
      </c>
      <c r="S32" s="28">
        <f ca="1">HLOOKUP(J32,dias,8,0)</f>
        <v>10</v>
      </c>
      <c r="T32" s="47">
        <f t="shared" ca="1" si="21"/>
        <v>4000</v>
      </c>
    </row>
    <row r="33" spans="10:19">
      <c r="J33" s="47"/>
    </row>
    <row r="35" spans="10:19" ht="29">
      <c r="J35" s="167" t="s">
        <v>22</v>
      </c>
      <c r="K35" s="168" t="str">
        <f>+K2</f>
        <v>Pedro Juárez</v>
      </c>
      <c r="L35" s="168" t="str">
        <f t="shared" ref="L35:N35" si="22">+L2</f>
        <v>Pedro López</v>
      </c>
      <c r="M35" s="168" t="str">
        <f t="shared" si="22"/>
        <v>Juan Rios</v>
      </c>
      <c r="N35" s="168" t="str">
        <f t="shared" si="22"/>
        <v>Sergio Sánchez</v>
      </c>
    </row>
    <row r="36" spans="10:19">
      <c r="J36" s="1" t="s">
        <v>105</v>
      </c>
      <c r="K36" s="55">
        <v>1</v>
      </c>
      <c r="L36" s="55">
        <v>1</v>
      </c>
      <c r="M36" s="55">
        <v>1</v>
      </c>
      <c r="N36" s="55">
        <v>1</v>
      </c>
      <c r="S36" s="54"/>
    </row>
    <row r="37" spans="10:19">
      <c r="J37" s="1" t="s">
        <v>120</v>
      </c>
      <c r="K37" s="56">
        <v>4.1095890410958902E-2</v>
      </c>
      <c r="L37" s="56">
        <v>4.1095890410958902E-2</v>
      </c>
      <c r="M37" s="56">
        <v>4.1095890410958902E-2</v>
      </c>
      <c r="N37" s="56">
        <v>4.1095890410958902E-2</v>
      </c>
    </row>
    <row r="38" spans="10:19">
      <c r="J38" s="1" t="s">
        <v>125</v>
      </c>
      <c r="K38" s="56">
        <f ca="1">+S29*25%/365</f>
        <v>1.0958904109589041E-2</v>
      </c>
      <c r="L38" s="56">
        <f ca="1">+S30*25%/365</f>
        <v>9.5890410958904115E-3</v>
      </c>
      <c r="M38" s="56">
        <f ca="1">+S31*25%/365</f>
        <v>8.21917808219178E-3</v>
      </c>
      <c r="N38" s="56">
        <f ca="1">+S32*25%/365</f>
        <v>6.8493150684931503E-3</v>
      </c>
    </row>
    <row r="39" spans="10:19">
      <c r="J39" s="1" t="s">
        <v>126</v>
      </c>
      <c r="K39" s="55">
        <f ca="1">SUM(K36:K38)</f>
        <v>1.0520547945205478</v>
      </c>
      <c r="L39" s="55">
        <f ca="1">SUM(L36:L38)</f>
        <v>1.0506849315068492</v>
      </c>
      <c r="M39" s="55">
        <f t="shared" ref="M39:N39" ca="1" si="23">SUM(M36:M38)</f>
        <v>1.0493150684931507</v>
      </c>
      <c r="N39" s="55">
        <f t="shared" ca="1" si="23"/>
        <v>1.047945205479452</v>
      </c>
    </row>
    <row r="42" spans="10:19" ht="29">
      <c r="J42" s="169" t="s">
        <v>22</v>
      </c>
      <c r="K42" s="170" t="str">
        <f>+K35</f>
        <v>Pedro Juárez</v>
      </c>
      <c r="L42" s="170" t="str">
        <f t="shared" ref="L42:N42" si="24">+L35</f>
        <v>Pedro López</v>
      </c>
      <c r="M42" s="170" t="str">
        <f t="shared" si="24"/>
        <v>Juan Rios</v>
      </c>
      <c r="N42" s="170" t="str">
        <f t="shared" si="24"/>
        <v>Sergio Sánchez</v>
      </c>
      <c r="O42" s="171" t="s">
        <v>128</v>
      </c>
    </row>
    <row r="43" spans="10:19">
      <c r="J43" s="5" t="s">
        <v>105</v>
      </c>
      <c r="K43" s="59">
        <v>1</v>
      </c>
      <c r="L43" s="59">
        <v>1</v>
      </c>
      <c r="M43" s="59">
        <v>1</v>
      </c>
      <c r="N43" s="59">
        <v>1</v>
      </c>
      <c r="O43" s="59">
        <v>1</v>
      </c>
    </row>
    <row r="44" spans="10:19">
      <c r="J44" s="5" t="s">
        <v>120</v>
      </c>
      <c r="K44" s="59">
        <f>15/365</f>
        <v>4.1095890410958902E-2</v>
      </c>
      <c r="L44" s="59">
        <f t="shared" ref="L44:N44" si="25">15/365</f>
        <v>4.1095890410958902E-2</v>
      </c>
      <c r="M44" s="59">
        <f t="shared" si="25"/>
        <v>4.1095890410958902E-2</v>
      </c>
      <c r="N44" s="59">
        <f t="shared" si="25"/>
        <v>4.1095890410958902E-2</v>
      </c>
      <c r="O44" s="59">
        <v>4.1095890410958902E-2</v>
      </c>
    </row>
    <row r="45" spans="10:19">
      <c r="J45" s="5" t="s">
        <v>125</v>
      </c>
      <c r="K45" s="59">
        <f ca="1">HLOOKUP(K42,dias,8,0)*25%/365</f>
        <v>1.0958904109589041E-2</v>
      </c>
      <c r="L45" s="59">
        <f ca="1">HLOOKUP(L42,dias,8,0)*25%/365</f>
        <v>9.5890410958904115E-3</v>
      </c>
      <c r="M45" s="59">
        <f ca="1">HLOOKUP(M42,dias,8,0)*25%/365</f>
        <v>8.21917808219178E-3</v>
      </c>
      <c r="N45" s="59">
        <f ca="1">HLOOKUP(N42,dias,8,0)*25%/365</f>
        <v>6.8493150684931503E-3</v>
      </c>
      <c r="O45" s="59">
        <f>6*25%/365</f>
        <v>4.10958904109589E-3</v>
      </c>
    </row>
    <row r="46" spans="10:19">
      <c r="J46" s="5" t="s">
        <v>127</v>
      </c>
      <c r="K46" s="60">
        <f ca="1">SUM(K43:K45)</f>
        <v>1.0520547945205478</v>
      </c>
      <c r="L46" s="60">
        <f t="shared" ref="L46" ca="1" si="26">SUM(L43:L45)</f>
        <v>1.0506849315068492</v>
      </c>
      <c r="M46" s="60">
        <f t="shared" ref="M46" ca="1" si="27">SUM(M43:M45)</f>
        <v>1.0493150684931507</v>
      </c>
      <c r="N46" s="60">
        <f t="shared" ref="N46:O46" ca="1" si="28">SUM(N43:N45)</f>
        <v>1.047945205479452</v>
      </c>
      <c r="O46" s="61">
        <f t="shared" si="28"/>
        <v>1.0452054794520547</v>
      </c>
    </row>
    <row r="47" spans="10:19">
      <c r="J47" s="5" t="s">
        <v>119</v>
      </c>
      <c r="K47" s="5">
        <f>VLOOKUP(K42,SDI,3,0)</f>
        <v>333.33333333333331</v>
      </c>
      <c r="L47" s="5">
        <f>VLOOKUP(L42,SDI,3,0)</f>
        <v>266.66666666666669</v>
      </c>
      <c r="M47" s="5">
        <f>VLOOKUP(M42,SDI,3,0)</f>
        <v>300</v>
      </c>
      <c r="N47" s="5">
        <f>VLOOKUP(N42,SDI,3,0)</f>
        <v>400</v>
      </c>
      <c r="O47" s="5">
        <v>200</v>
      </c>
    </row>
    <row r="48" spans="10:19">
      <c r="J48" s="18" t="s">
        <v>177</v>
      </c>
      <c r="K48" s="18">
        <f ca="1">+K47*K46</f>
        <v>350.68493150684924</v>
      </c>
      <c r="L48" s="18">
        <f t="shared" ref="L48:O48" ca="1" si="29">+L47*L46</f>
        <v>280.18264840182644</v>
      </c>
      <c r="M48" s="18">
        <f t="shared" ca="1" si="29"/>
        <v>314.79452054794524</v>
      </c>
      <c r="N48" s="18">
        <f t="shared" ca="1" si="29"/>
        <v>419.17808219178079</v>
      </c>
      <c r="O48" s="18">
        <f t="shared" si="29"/>
        <v>209.04109589041093</v>
      </c>
    </row>
    <row r="49" spans="1:15">
      <c r="J49" s="68" t="s">
        <v>178</v>
      </c>
      <c r="K49" s="28">
        <v>62</v>
      </c>
      <c r="L49" s="28">
        <v>62</v>
      </c>
      <c r="M49" s="28">
        <v>62</v>
      </c>
      <c r="N49" s="28">
        <v>62</v>
      </c>
    </row>
    <row r="50" spans="1:15">
      <c r="J50" s="68" t="s">
        <v>179</v>
      </c>
      <c r="K50" s="47">
        <f ca="1">+K49*K48</f>
        <v>21742.465753424654</v>
      </c>
      <c r="L50" s="47">
        <f t="shared" ref="L50:N50" ca="1" si="30">+L49*L48</f>
        <v>17371.324200913241</v>
      </c>
      <c r="M50" s="47">
        <f t="shared" ca="1" si="30"/>
        <v>19517.260273972606</v>
      </c>
      <c r="N50" s="47">
        <f t="shared" ca="1" si="30"/>
        <v>25989.04109589041</v>
      </c>
    </row>
    <row r="51" spans="1:15">
      <c r="J51" s="52">
        <v>0.1</v>
      </c>
      <c r="K51" s="7">
        <f ca="1">+K50*10%</f>
        <v>2174.2465753424653</v>
      </c>
      <c r="L51" s="7">
        <f t="shared" ref="L51:N51" ca="1" si="31">+L50*10%</f>
        <v>1737.1324200913241</v>
      </c>
      <c r="M51" s="7">
        <f t="shared" ca="1" si="31"/>
        <v>1951.7260273972606</v>
      </c>
      <c r="N51" s="7">
        <f t="shared" ca="1" si="31"/>
        <v>2598.9041095890411</v>
      </c>
      <c r="O51" t="s">
        <v>180</v>
      </c>
    </row>
    <row r="53" spans="1:15">
      <c r="J53" s="46" t="s">
        <v>181</v>
      </c>
    </row>
    <row r="54" spans="1:15">
      <c r="C54" s="21" t="s">
        <v>63</v>
      </c>
      <c r="D54" s="21" t="s">
        <v>64</v>
      </c>
    </row>
    <row r="55" spans="1:15">
      <c r="A55" t="s">
        <v>45</v>
      </c>
      <c r="B55">
        <v>1</v>
      </c>
      <c r="C55" t="s">
        <v>62</v>
      </c>
      <c r="D55" t="s">
        <v>65</v>
      </c>
      <c r="J55" t="s">
        <v>182</v>
      </c>
    </row>
    <row r="56" spans="1:15">
      <c r="B56">
        <v>2</v>
      </c>
      <c r="C56" t="s">
        <v>62</v>
      </c>
      <c r="D56" t="s">
        <v>65</v>
      </c>
    </row>
    <row r="57" spans="1:15">
      <c r="B57">
        <v>3</v>
      </c>
      <c r="C57" t="s">
        <v>62</v>
      </c>
      <c r="D57" t="s">
        <v>65</v>
      </c>
    </row>
    <row r="58" spans="1:15">
      <c r="B58">
        <v>4</v>
      </c>
      <c r="C58" t="s">
        <v>48</v>
      </c>
      <c r="D58" t="s">
        <v>65</v>
      </c>
    </row>
    <row r="59" spans="1:15">
      <c r="B59">
        <v>5</v>
      </c>
      <c r="C59" t="s">
        <v>48</v>
      </c>
      <c r="D59" t="s">
        <v>65</v>
      </c>
    </row>
    <row r="60" spans="1:15">
      <c r="A60" t="s">
        <v>46</v>
      </c>
      <c r="B60">
        <v>6</v>
      </c>
      <c r="C60" t="s">
        <v>62</v>
      </c>
      <c r="D60" t="s">
        <v>65</v>
      </c>
    </row>
    <row r="61" spans="1:15">
      <c r="B61">
        <v>7</v>
      </c>
      <c r="C61" t="s">
        <v>62</v>
      </c>
      <c r="D61" t="s">
        <v>65</v>
      </c>
    </row>
    <row r="62" spans="1:15">
      <c r="B62">
        <v>8</v>
      </c>
      <c r="C62" t="s">
        <v>62</v>
      </c>
      <c r="D62" t="s">
        <v>65</v>
      </c>
    </row>
    <row r="63" spans="1:15">
      <c r="B63">
        <v>9</v>
      </c>
      <c r="C63" t="s">
        <v>48</v>
      </c>
      <c r="D63" t="s">
        <v>65</v>
      </c>
    </row>
    <row r="64" spans="1:15">
      <c r="B64">
        <v>10</v>
      </c>
      <c r="C64" t="s">
        <v>48</v>
      </c>
      <c r="D64" t="s">
        <v>66</v>
      </c>
    </row>
    <row r="65" spans="1:4">
      <c r="A65" t="s">
        <v>61</v>
      </c>
      <c r="B65">
        <v>11</v>
      </c>
      <c r="C65" t="s">
        <v>62</v>
      </c>
      <c r="D65" t="s">
        <v>66</v>
      </c>
    </row>
    <row r="66" spans="1:4">
      <c r="B66">
        <v>12</v>
      </c>
      <c r="C66" t="s">
        <v>62</v>
      </c>
      <c r="D66" t="s">
        <v>66</v>
      </c>
    </row>
    <row r="67" spans="1:4">
      <c r="B67">
        <v>13</v>
      </c>
      <c r="C67" t="s">
        <v>62</v>
      </c>
      <c r="D67" t="s">
        <v>66</v>
      </c>
    </row>
    <row r="68" spans="1:4">
      <c r="B68">
        <v>14</v>
      </c>
      <c r="C68" t="s">
        <v>48</v>
      </c>
      <c r="D68" t="s">
        <v>66</v>
      </c>
    </row>
    <row r="69" spans="1:4">
      <c r="B69">
        <v>15</v>
      </c>
      <c r="C69" t="s">
        <v>48</v>
      </c>
      <c r="D69" t="s">
        <v>66</v>
      </c>
    </row>
  </sheetData>
  <mergeCells count="2">
    <mergeCell ref="B2:D2"/>
    <mergeCell ref="F2:H2"/>
  </mergeCells>
  <phoneticPr fontId="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F17DB-20AF-4BCB-9FFD-DC16047A6F64}">
  <dimension ref="B2:J66"/>
  <sheetViews>
    <sheetView topLeftCell="A54" zoomScale="150" zoomScaleNormal="150" workbookViewId="0">
      <selection activeCell="D56" sqref="D56"/>
    </sheetView>
  </sheetViews>
  <sheetFormatPr baseColWidth="10" defaultColWidth="11.54296875" defaultRowHeight="14.5"/>
  <cols>
    <col min="1" max="1" width="11.54296875" style="7"/>
    <col min="2" max="2" width="19.1796875" style="7" customWidth="1"/>
    <col min="3" max="4" width="11.54296875" style="7"/>
    <col min="5" max="5" width="18.453125" style="7" customWidth="1"/>
    <col min="6" max="16384" width="11.54296875" style="7"/>
  </cols>
  <sheetData>
    <row r="2" spans="2:6">
      <c r="D2" s="138" t="s">
        <v>129</v>
      </c>
      <c r="E2" s="138"/>
      <c r="F2" s="138"/>
    </row>
    <row r="3" spans="2:6">
      <c r="D3" s="12" t="s">
        <v>130</v>
      </c>
      <c r="E3" s="12" t="s">
        <v>99</v>
      </c>
      <c r="F3" s="12" t="s">
        <v>26</v>
      </c>
    </row>
    <row r="4" spans="2:6">
      <c r="B4" s="7" t="s">
        <v>105</v>
      </c>
      <c r="C4" s="7">
        <v>12000</v>
      </c>
      <c r="D4" s="63">
        <f>+C4*0.13</f>
        <v>1560</v>
      </c>
      <c r="E4" s="7">
        <f>+D4</f>
        <v>1560</v>
      </c>
      <c r="F4" s="7">
        <f>+E4+D4</f>
        <v>3120</v>
      </c>
    </row>
    <row r="6" spans="2:6">
      <c r="B6" s="7" t="s">
        <v>131</v>
      </c>
    </row>
    <row r="9" spans="2:6">
      <c r="B9" s="7" t="s">
        <v>132</v>
      </c>
    </row>
    <row r="10" spans="2:6">
      <c r="B10" s="11" t="s">
        <v>133</v>
      </c>
    </row>
    <row r="11" spans="2:6">
      <c r="B11" s="11" t="s">
        <v>134</v>
      </c>
    </row>
    <row r="13" spans="2:6">
      <c r="B13" s="7" t="s">
        <v>68</v>
      </c>
      <c r="C13" s="7">
        <f>+UMA</f>
        <v>89.62</v>
      </c>
      <c r="E13" s="7" t="s">
        <v>139</v>
      </c>
    </row>
    <row r="14" spans="2:6">
      <c r="B14" s="7" t="s">
        <v>135</v>
      </c>
      <c r="C14" s="7">
        <f>+C13*30.4</f>
        <v>2724.4479999999999</v>
      </c>
      <c r="E14" s="7" t="s">
        <v>140</v>
      </c>
    </row>
    <row r="15" spans="2:6">
      <c r="B15" s="7" t="s">
        <v>136</v>
      </c>
      <c r="C15" s="7">
        <f>+C14*12</f>
        <v>32693.375999999997</v>
      </c>
      <c r="E15" s="7" t="s">
        <v>141</v>
      </c>
    </row>
    <row r="16" spans="2:6">
      <c r="B16" s="9" t="s">
        <v>137</v>
      </c>
      <c r="C16" s="9">
        <f>+C15*1.3</f>
        <v>42501.388799999993</v>
      </c>
    </row>
    <row r="18" spans="2:5">
      <c r="B18" s="7">
        <v>100000</v>
      </c>
      <c r="C18" s="7">
        <f>+B18*13%</f>
        <v>13000</v>
      </c>
    </row>
    <row r="19" spans="2:5">
      <c r="B19" s="7">
        <v>200000</v>
      </c>
      <c r="C19" s="7">
        <f t="shared" ref="C19:C22" si="0">+B19*13%</f>
        <v>26000</v>
      </c>
    </row>
    <row r="20" spans="2:5">
      <c r="B20" s="7">
        <v>300000</v>
      </c>
      <c r="C20" s="7">
        <f t="shared" si="0"/>
        <v>39000</v>
      </c>
    </row>
    <row r="21" spans="2:5">
      <c r="B21" s="7">
        <v>320000</v>
      </c>
      <c r="C21" s="64">
        <f t="shared" si="0"/>
        <v>41600</v>
      </c>
      <c r="D21" s="7">
        <f>+C21-C16</f>
        <v>-901.38879999999335</v>
      </c>
      <c r="E21" s="7" t="s">
        <v>138</v>
      </c>
    </row>
    <row r="22" spans="2:5">
      <c r="C22" s="7">
        <f t="shared" si="0"/>
        <v>0</v>
      </c>
    </row>
    <row r="25" spans="2:5">
      <c r="B25" s="7" t="s">
        <v>142</v>
      </c>
    </row>
    <row r="26" spans="2:5">
      <c r="B26" s="7" t="s">
        <v>143</v>
      </c>
      <c r="C26" s="7" t="s">
        <v>144</v>
      </c>
      <c r="D26" s="7">
        <f>+SMG</f>
        <v>141.69999999999999</v>
      </c>
    </row>
    <row r="27" spans="2:5">
      <c r="C27" s="65">
        <v>0.2</v>
      </c>
      <c r="D27" s="63">
        <f>+D26*C27</f>
        <v>28.34</v>
      </c>
      <c r="E27" s="7" t="s">
        <v>145</v>
      </c>
    </row>
    <row r="28" spans="2:5">
      <c r="E28" s="7" t="s">
        <v>146</v>
      </c>
    </row>
    <row r="30" spans="2:5">
      <c r="E30" s="7" t="s">
        <v>147</v>
      </c>
    </row>
    <row r="32" spans="2:5">
      <c r="B32" s="7">
        <v>20000</v>
      </c>
      <c r="C32" s="7" t="s">
        <v>148</v>
      </c>
    </row>
    <row r="33" spans="2:9">
      <c r="B33" s="7">
        <f>+B32/30</f>
        <v>666.66666666666663</v>
      </c>
      <c r="C33" s="7" t="s">
        <v>149</v>
      </c>
      <c r="E33" s="7" t="s">
        <v>150</v>
      </c>
      <c r="F33" s="67">
        <v>8.3299999999999999E-2</v>
      </c>
      <c r="G33" s="7" t="s">
        <v>151</v>
      </c>
    </row>
    <row r="34" spans="2:9">
      <c r="B34" s="9">
        <f>+B33*25%</f>
        <v>166.66666666666666</v>
      </c>
      <c r="C34" s="9" t="s">
        <v>151</v>
      </c>
      <c r="F34" s="53">
        <f>+F33*2</f>
        <v>0.1666</v>
      </c>
      <c r="G34" s="7" t="s">
        <v>152</v>
      </c>
    </row>
    <row r="35" spans="2:9">
      <c r="B35" s="7">
        <f>+B34+B33</f>
        <v>833.33333333333326</v>
      </c>
      <c r="F35" s="65">
        <v>0.25</v>
      </c>
      <c r="G35" s="7" t="s">
        <v>153</v>
      </c>
    </row>
    <row r="37" spans="2:9">
      <c r="C37" s="7" t="s">
        <v>154</v>
      </c>
      <c r="D37" s="7">
        <f>+B34*44</f>
        <v>7333.333333333333</v>
      </c>
      <c r="F37" s="7" t="s">
        <v>157</v>
      </c>
      <c r="G37" s="7" t="s">
        <v>158</v>
      </c>
      <c r="H37" s="7" t="s">
        <v>159</v>
      </c>
      <c r="I37" s="7" t="s">
        <v>143</v>
      </c>
    </row>
    <row r="38" spans="2:9">
      <c r="C38" s="7" t="s">
        <v>155</v>
      </c>
      <c r="D38" s="7">
        <v>58</v>
      </c>
      <c r="H38" s="7" t="s">
        <v>160</v>
      </c>
      <c r="I38" s="65">
        <v>0.25</v>
      </c>
    </row>
    <row r="39" spans="2:9">
      <c r="C39" s="66" t="s">
        <v>156</v>
      </c>
      <c r="D39" s="66">
        <f>+D37/D38</f>
        <v>126.43678160919539</v>
      </c>
    </row>
    <row r="44" spans="2:9">
      <c r="B44" s="7" t="s">
        <v>161</v>
      </c>
      <c r="C44" s="7">
        <f>+SMG</f>
        <v>141.69999999999999</v>
      </c>
      <c r="E44" s="7" t="s">
        <v>170</v>
      </c>
    </row>
    <row r="45" spans="2:9">
      <c r="B45" s="7" t="s">
        <v>162</v>
      </c>
      <c r="C45" s="65">
        <v>0.4</v>
      </c>
      <c r="E45" s="66" t="s">
        <v>171</v>
      </c>
    </row>
    <row r="46" spans="2:9">
      <c r="B46" s="66" t="s">
        <v>163</v>
      </c>
      <c r="C46" s="66">
        <f>+C45*C44</f>
        <v>56.68</v>
      </c>
    </row>
    <row r="48" spans="2:9">
      <c r="B48" s="66" t="s">
        <v>164</v>
      </c>
      <c r="C48" s="66">
        <f>+C46*30</f>
        <v>1700.4</v>
      </c>
    </row>
    <row r="50" spans="2:10">
      <c r="B50" s="7" t="s">
        <v>165</v>
      </c>
      <c r="C50" s="7">
        <v>2000</v>
      </c>
    </row>
    <row r="51" spans="2:10">
      <c r="B51" s="7" t="s">
        <v>166</v>
      </c>
      <c r="C51" s="7">
        <f>+C48</f>
        <v>1700.4</v>
      </c>
    </row>
    <row r="52" spans="2:10">
      <c r="B52" s="66" t="s">
        <v>167</v>
      </c>
      <c r="C52" s="66">
        <f>+C50-C51</f>
        <v>299.59999999999991</v>
      </c>
      <c r="D52" s="7" t="s">
        <v>168</v>
      </c>
    </row>
    <row r="53" spans="2:10">
      <c r="B53" s="66" t="s">
        <v>169</v>
      </c>
      <c r="C53" s="66">
        <f>+C52/30</f>
        <v>9.9866666666666628</v>
      </c>
    </row>
    <row r="55" spans="2:10">
      <c r="B55" s="7" t="s">
        <v>172</v>
      </c>
      <c r="E55" s="7" t="s">
        <v>105</v>
      </c>
      <c r="F55" s="7">
        <v>6000</v>
      </c>
    </row>
    <row r="56" spans="2:10">
      <c r="D56" s="7" t="s">
        <v>189</v>
      </c>
      <c r="E56" s="69" t="s">
        <v>173</v>
      </c>
      <c r="F56" s="9">
        <f>+C48</f>
        <v>1700.4</v>
      </c>
      <c r="G56" s="7" t="s">
        <v>174</v>
      </c>
      <c r="H56" s="7" t="s">
        <v>176</v>
      </c>
    </row>
    <row r="57" spans="2:10">
      <c r="D57" s="7" t="s">
        <v>189</v>
      </c>
      <c r="E57" s="69" t="s">
        <v>175</v>
      </c>
      <c r="F57" s="9">
        <f>+F55*13%</f>
        <v>780</v>
      </c>
    </row>
    <row r="58" spans="2:10">
      <c r="D58" s="7" t="s">
        <v>190</v>
      </c>
      <c r="E58" s="69" t="s">
        <v>183</v>
      </c>
      <c r="F58" s="9">
        <f>+F55*0.1</f>
        <v>600</v>
      </c>
    </row>
    <row r="59" spans="2:10">
      <c r="D59" s="7" t="s">
        <v>190</v>
      </c>
      <c r="E59" s="69" t="s">
        <v>184</v>
      </c>
      <c r="F59" s="9">
        <f>+F58</f>
        <v>600</v>
      </c>
    </row>
    <row r="60" spans="2:10">
      <c r="D60" s="7" t="s">
        <v>191</v>
      </c>
      <c r="E60" s="7" t="s">
        <v>54</v>
      </c>
      <c r="F60" s="9">
        <f>+J66</f>
        <v>1800</v>
      </c>
      <c r="H60" s="7" t="s">
        <v>185</v>
      </c>
      <c r="I60" s="7" t="s">
        <v>186</v>
      </c>
    </row>
    <row r="61" spans="2:10">
      <c r="E61" s="9" t="s">
        <v>26</v>
      </c>
      <c r="F61" s="9">
        <f>SUM(F55:F60)</f>
        <v>11480.4</v>
      </c>
      <c r="H61" s="7" t="s">
        <v>118</v>
      </c>
      <c r="J61" s="7">
        <f>+F55</f>
        <v>6000</v>
      </c>
    </row>
    <row r="62" spans="2:10">
      <c r="E62" s="7" t="s">
        <v>167</v>
      </c>
      <c r="F62" s="7">
        <f>+F55</f>
        <v>6000</v>
      </c>
      <c r="G62" s="53">
        <f>+$F$62/F61</f>
        <v>0.5226298735235706</v>
      </c>
      <c r="H62" s="7" t="s">
        <v>36</v>
      </c>
      <c r="J62" s="7">
        <f>+J61/30</f>
        <v>200</v>
      </c>
    </row>
    <row r="63" spans="2:10">
      <c r="E63" s="9" t="s">
        <v>166</v>
      </c>
      <c r="F63" s="9">
        <f>+F61-F62</f>
        <v>5480.4</v>
      </c>
      <c r="G63" s="53">
        <f>+F63/F61</f>
        <v>0.4773701264764294</v>
      </c>
      <c r="H63" s="7" t="s">
        <v>38</v>
      </c>
      <c r="J63" s="7">
        <f>+J62/8</f>
        <v>25</v>
      </c>
    </row>
    <row r="64" spans="2:10">
      <c r="H64" s="7" t="s">
        <v>187</v>
      </c>
      <c r="J64" s="7">
        <f>+J63*2</f>
        <v>50</v>
      </c>
    </row>
    <row r="65" spans="8:10">
      <c r="H65" s="7" t="s">
        <v>186</v>
      </c>
      <c r="J65" s="7">
        <f>+J64*9</f>
        <v>450</v>
      </c>
    </row>
    <row r="66" spans="8:10">
      <c r="H66" s="7" t="s">
        <v>188</v>
      </c>
      <c r="J66" s="7">
        <f>+J65*4</f>
        <v>1800</v>
      </c>
    </row>
  </sheetData>
  <mergeCells count="1">
    <mergeCell ref="D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51BFF-9093-4A0B-BDE2-8CAE21FC1254}">
  <dimension ref="A2:G24"/>
  <sheetViews>
    <sheetView zoomScale="170" zoomScaleNormal="170" workbookViewId="0"/>
  </sheetViews>
  <sheetFormatPr baseColWidth="10" defaultColWidth="11.54296875" defaultRowHeight="14.5"/>
  <cols>
    <col min="1" max="1" width="11.54296875" style="7"/>
    <col min="2" max="2" width="14.6328125" style="7" customWidth="1"/>
    <col min="3" max="5" width="11.54296875" style="7"/>
    <col min="6" max="6" width="14.54296875" style="7" customWidth="1"/>
    <col min="7" max="16384" width="11.54296875" style="7"/>
  </cols>
  <sheetData>
    <row r="2" spans="2:7">
      <c r="B2" s="30"/>
      <c r="C2" s="7" t="s">
        <v>93</v>
      </c>
      <c r="D2" s="7" t="s">
        <v>94</v>
      </c>
    </row>
    <row r="4" spans="2:7">
      <c r="B4" s="31" t="s">
        <v>97</v>
      </c>
      <c r="C4" s="32"/>
      <c r="D4" s="32"/>
      <c r="E4" s="33"/>
    </row>
    <row r="5" spans="2:7">
      <c r="B5" s="34"/>
      <c r="C5" s="35"/>
      <c r="D5" s="35"/>
      <c r="E5" s="36"/>
    </row>
    <row r="6" spans="2:7">
      <c r="B6" s="34"/>
      <c r="C6" s="35"/>
      <c r="D6" s="35"/>
      <c r="E6" s="36"/>
    </row>
    <row r="7" spans="2:7">
      <c r="B7" s="34"/>
      <c r="C7" s="35"/>
      <c r="D7" s="35"/>
      <c r="E7" s="36"/>
    </row>
    <row r="8" spans="2:7">
      <c r="B8" s="37"/>
      <c r="C8" s="38"/>
      <c r="D8" s="38"/>
      <c r="E8" s="39" t="s">
        <v>96</v>
      </c>
      <c r="F8" s="7" t="s">
        <v>95</v>
      </c>
      <c r="G8" s="7" t="s">
        <v>98</v>
      </c>
    </row>
    <row r="16" spans="2:7">
      <c r="B16" s="40" t="s">
        <v>99</v>
      </c>
      <c r="C16" s="40" t="s">
        <v>104</v>
      </c>
      <c r="D16" s="40" t="s">
        <v>105</v>
      </c>
    </row>
    <row r="17" spans="1:7">
      <c r="B17" s="43" t="s">
        <v>100</v>
      </c>
      <c r="C17" s="5">
        <v>34</v>
      </c>
      <c r="D17" s="5">
        <v>10000</v>
      </c>
      <c r="F17" s="7" t="s">
        <v>107</v>
      </c>
      <c r="G17" s="7" t="s">
        <v>108</v>
      </c>
    </row>
    <row r="18" spans="1:7">
      <c r="B18" s="43" t="s">
        <v>101</v>
      </c>
      <c r="C18" s="5">
        <v>35</v>
      </c>
      <c r="D18" s="5">
        <v>8000</v>
      </c>
      <c r="F18" s="7" t="s">
        <v>109</v>
      </c>
      <c r="G18" s="7" t="s">
        <v>110</v>
      </c>
    </row>
    <row r="19" spans="1:7">
      <c r="B19" s="43" t="s">
        <v>102</v>
      </c>
      <c r="C19" s="5">
        <v>28</v>
      </c>
      <c r="D19" s="5">
        <v>9000</v>
      </c>
    </row>
    <row r="20" spans="1:7">
      <c r="B20" s="43" t="s">
        <v>103</v>
      </c>
      <c r="C20" s="5">
        <v>33</v>
      </c>
      <c r="D20" s="5">
        <v>12000</v>
      </c>
    </row>
    <row r="21" spans="1:7">
      <c r="A21" s="41" t="s">
        <v>106</v>
      </c>
      <c r="B21" s="41">
        <v>1</v>
      </c>
      <c r="C21" s="41">
        <v>2</v>
      </c>
      <c r="D21" s="41">
        <v>3</v>
      </c>
    </row>
    <row r="22" spans="1:7">
      <c r="E22" s="5" t="s">
        <v>99</v>
      </c>
      <c r="F22" s="42" t="s">
        <v>102</v>
      </c>
    </row>
    <row r="23" spans="1:7">
      <c r="E23" s="5" t="s">
        <v>104</v>
      </c>
      <c r="F23" s="13">
        <f>VLOOKUP(F22,datos,2,0)</f>
        <v>28</v>
      </c>
    </row>
    <row r="24" spans="1:7">
      <c r="E24" s="5" t="s">
        <v>105</v>
      </c>
      <c r="F24" s="5">
        <f>VLOOKUP(F22,datos,3,0)</f>
        <v>9000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67B5C-E792-46C0-8E51-86BDF4BB4D85}">
  <dimension ref="B2:F10"/>
  <sheetViews>
    <sheetView workbookViewId="0">
      <selection activeCell="F10" sqref="F10"/>
    </sheetView>
  </sheetViews>
  <sheetFormatPr baseColWidth="10" defaultColWidth="11.54296875" defaultRowHeight="14.5"/>
  <cols>
    <col min="1" max="1" width="11.54296875" style="7"/>
    <col min="2" max="2" width="18.81640625" style="7" customWidth="1"/>
    <col min="3" max="16384" width="11.54296875" style="7"/>
  </cols>
  <sheetData>
    <row r="2" spans="2:6">
      <c r="B2" s="6" t="s">
        <v>5</v>
      </c>
      <c r="C2" s="6" t="s">
        <v>7</v>
      </c>
      <c r="D2" s="6" t="s">
        <v>8</v>
      </c>
      <c r="E2" s="6" t="s">
        <v>9</v>
      </c>
      <c r="F2" s="6" t="s">
        <v>10</v>
      </c>
    </row>
    <row r="3" spans="2:6">
      <c r="B3" s="5" t="s">
        <v>6</v>
      </c>
      <c r="C3" s="5"/>
      <c r="D3" s="5"/>
      <c r="E3" s="5"/>
      <c r="F3" s="5"/>
    </row>
    <row r="4" spans="2:6">
      <c r="B4" s="5" t="s">
        <v>11</v>
      </c>
      <c r="C4" s="5"/>
      <c r="D4" s="5"/>
      <c r="E4" s="5"/>
      <c r="F4" s="5"/>
    </row>
    <row r="5" spans="2:6">
      <c r="B5" s="5" t="s">
        <v>12</v>
      </c>
      <c r="C5" s="5"/>
      <c r="D5" s="5"/>
      <c r="E5" s="5"/>
      <c r="F5" s="5"/>
    </row>
    <row r="6" spans="2:6">
      <c r="B6" s="5" t="s">
        <v>13</v>
      </c>
      <c r="C6" s="5"/>
      <c r="D6" s="5"/>
      <c r="E6" s="5"/>
      <c r="F6" s="5"/>
    </row>
    <row r="7" spans="2:6">
      <c r="B7" s="5" t="s">
        <v>14</v>
      </c>
      <c r="C7" s="5"/>
      <c r="D7" s="5"/>
      <c r="E7" s="5"/>
      <c r="F7" s="5"/>
    </row>
    <row r="8" spans="2:6">
      <c r="B8" s="5" t="s">
        <v>15</v>
      </c>
      <c r="C8" s="5"/>
      <c r="D8" s="5"/>
      <c r="E8" s="5"/>
      <c r="F8" s="5"/>
    </row>
    <row r="9" spans="2:6">
      <c r="B9" s="5" t="s">
        <v>16</v>
      </c>
      <c r="C9" s="5"/>
      <c r="D9" s="5"/>
      <c r="E9" s="5"/>
      <c r="F9" s="5"/>
    </row>
    <row r="10" spans="2:6">
      <c r="B10" s="5" t="s">
        <v>17</v>
      </c>
      <c r="C10" s="5">
        <v>18000</v>
      </c>
      <c r="D10" s="5">
        <v>15000</v>
      </c>
      <c r="E10" s="5">
        <v>11500</v>
      </c>
      <c r="F10" s="5"/>
    </row>
  </sheetData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AA258-B3B0-470C-826B-59AA36EC2B22}">
  <dimension ref="B2:E3"/>
  <sheetViews>
    <sheetView workbookViewId="0">
      <selection activeCell="A2" sqref="A2"/>
    </sheetView>
  </sheetViews>
  <sheetFormatPr baseColWidth="10" defaultRowHeight="14.5"/>
  <sheetData>
    <row r="2" spans="2:5">
      <c r="B2" s="8" t="s">
        <v>21</v>
      </c>
    </row>
    <row r="3" spans="2:5">
      <c r="B3" t="s">
        <v>22</v>
      </c>
      <c r="C3" t="s">
        <v>23</v>
      </c>
      <c r="D3" t="s">
        <v>24</v>
      </c>
      <c r="E3" t="s">
        <v>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8B6A9-F129-416E-A378-F430AA61AF1C}">
  <dimension ref="A1:H41"/>
  <sheetViews>
    <sheetView topLeftCell="A23" workbookViewId="0">
      <selection activeCell="E33" sqref="E33"/>
    </sheetView>
  </sheetViews>
  <sheetFormatPr baseColWidth="10" defaultColWidth="11.54296875" defaultRowHeight="14.5"/>
  <cols>
    <col min="1" max="1" width="11.54296875" style="7"/>
    <col min="2" max="2" width="30.453125" style="7" customWidth="1"/>
    <col min="3" max="3" width="16.6328125" style="7" bestFit="1" customWidth="1"/>
    <col min="4" max="4" width="23.90625" style="7" customWidth="1"/>
    <col min="5" max="6" width="11.54296875" style="7"/>
    <col min="7" max="7" width="23.81640625" style="7" bestFit="1" customWidth="1"/>
    <col min="8" max="16384" width="11.54296875" style="7"/>
  </cols>
  <sheetData>
    <row r="1" spans="1:8">
      <c r="A1" s="174">
        <v>44196</v>
      </c>
    </row>
    <row r="2" spans="1:8">
      <c r="B2" s="139" t="s">
        <v>456</v>
      </c>
      <c r="C2" s="139"/>
      <c r="D2" s="139"/>
      <c r="E2" s="139"/>
    </row>
    <row r="3" spans="1:8">
      <c r="B3" s="5" t="s">
        <v>457</v>
      </c>
      <c r="C3" s="5" t="s">
        <v>458</v>
      </c>
      <c r="D3" s="5" t="s">
        <v>459</v>
      </c>
      <c r="E3" s="5">
        <v>20</v>
      </c>
      <c r="G3" s="7" t="s">
        <v>513</v>
      </c>
      <c r="H3" s="7" t="s">
        <v>514</v>
      </c>
    </row>
    <row r="4" spans="1:8">
      <c r="B4" s="5" t="s">
        <v>111</v>
      </c>
      <c r="C4" s="133">
        <v>42806</v>
      </c>
      <c r="D4" s="5" t="s">
        <v>36</v>
      </c>
      <c r="E4" s="5">
        <v>400</v>
      </c>
      <c r="H4" s="7" t="s">
        <v>515</v>
      </c>
    </row>
    <row r="5" spans="1:8">
      <c r="B5" s="5" t="s">
        <v>460</v>
      </c>
      <c r="C5" s="133">
        <v>44254</v>
      </c>
      <c r="D5" s="5" t="s">
        <v>461</v>
      </c>
      <c r="E5" s="5">
        <f>+E4+(E3*E4)/365+C6*E6/365</f>
        <v>421.93095890410962</v>
      </c>
    </row>
    <row r="6" spans="1:8">
      <c r="B6" s="5" t="s">
        <v>116</v>
      </c>
      <c r="C6" s="5">
        <f>VLOOKUP((DATEDIF(C4,C5,"y")+DATEDIF(C4,C5,"ym")/12+DATEDIF(C4,C5,"md")/365),Vacaciones,3,1)</f>
        <v>12</v>
      </c>
      <c r="D6" s="5" t="s">
        <v>462</v>
      </c>
      <c r="E6" s="134">
        <v>0.4</v>
      </c>
      <c r="G6" s="63" t="s">
        <v>516</v>
      </c>
      <c r="H6" s="9" t="s">
        <v>517</v>
      </c>
    </row>
    <row r="7" spans="1:8">
      <c r="B7" s="5" t="s">
        <v>463</v>
      </c>
      <c r="C7" s="133">
        <v>43901</v>
      </c>
      <c r="D7" s="5" t="s">
        <v>531</v>
      </c>
      <c r="E7" s="5">
        <v>3</v>
      </c>
      <c r="H7" s="7" t="s">
        <v>518</v>
      </c>
    </row>
    <row r="8" spans="1:8">
      <c r="B8" s="5" t="s">
        <v>464</v>
      </c>
      <c r="C8" s="133">
        <v>44242</v>
      </c>
      <c r="D8" s="5" t="s">
        <v>532</v>
      </c>
      <c r="E8" s="5">
        <v>6</v>
      </c>
      <c r="H8" s="7" t="s">
        <v>120</v>
      </c>
    </row>
    <row r="9" spans="1:8">
      <c r="B9" s="140" t="s">
        <v>465</v>
      </c>
      <c r="C9" s="140"/>
      <c r="D9" s="140"/>
      <c r="E9" s="140"/>
      <c r="H9" s="7" t="s">
        <v>233</v>
      </c>
    </row>
    <row r="10" spans="1:8" ht="29">
      <c r="B10" s="57" t="s">
        <v>22</v>
      </c>
      <c r="C10" s="57" t="s">
        <v>3</v>
      </c>
      <c r="D10" s="58" t="s">
        <v>466</v>
      </c>
      <c r="E10" s="57" t="s">
        <v>409</v>
      </c>
      <c r="F10" s="131" t="s">
        <v>189</v>
      </c>
      <c r="H10" s="172" t="s">
        <v>519</v>
      </c>
    </row>
    <row r="11" spans="1:8">
      <c r="B11" s="5" t="s">
        <v>260</v>
      </c>
      <c r="C11" s="5">
        <f>+C5-C8-E7</f>
        <v>9</v>
      </c>
      <c r="D11" s="5">
        <f>+E4</f>
        <v>400</v>
      </c>
      <c r="E11" s="5">
        <f>+D11*C11</f>
        <v>3600</v>
      </c>
      <c r="H11" s="7" t="s">
        <v>520</v>
      </c>
    </row>
    <row r="12" spans="1:8">
      <c r="B12" s="5" t="s">
        <v>467</v>
      </c>
      <c r="C12" s="5">
        <f>(+baja-base-E8)*E3/365</f>
        <v>2.8493150684931505</v>
      </c>
      <c r="D12" s="5">
        <f>+D11</f>
        <v>400</v>
      </c>
      <c r="E12" s="5">
        <f>+D12*C12</f>
        <v>1139.7260273972602</v>
      </c>
      <c r="F12" s="7">
        <f>30*UMA</f>
        <v>2688.6000000000004</v>
      </c>
    </row>
    <row r="13" spans="1:8">
      <c r="B13" s="5" t="s">
        <v>468</v>
      </c>
      <c r="C13" s="5">
        <f>(+baja-C7)*C6/365</f>
        <v>11.605479452054794</v>
      </c>
      <c r="D13" s="5">
        <f>+D12</f>
        <v>400</v>
      </c>
      <c r="E13" s="5">
        <f>+D13*C13</f>
        <v>4642.1917808219177</v>
      </c>
      <c r="G13" s="9" t="s">
        <v>521</v>
      </c>
      <c r="H13" s="7" t="s">
        <v>522</v>
      </c>
    </row>
    <row r="14" spans="1:8">
      <c r="B14" s="5" t="s">
        <v>533</v>
      </c>
      <c r="C14" s="5">
        <v>0</v>
      </c>
      <c r="D14" s="5">
        <v>0</v>
      </c>
      <c r="E14" s="5">
        <f>+D14*C14</f>
        <v>0</v>
      </c>
      <c r="G14" s="9"/>
    </row>
    <row r="15" spans="1:8">
      <c r="B15" s="5" t="s">
        <v>233</v>
      </c>
      <c r="C15" s="5">
        <f>+C13*E6</f>
        <v>4.6421917808219177</v>
      </c>
      <c r="D15" s="5">
        <f>+D13</f>
        <v>400</v>
      </c>
      <c r="E15" s="5">
        <f>+D15*C15</f>
        <v>1856.8767123287671</v>
      </c>
      <c r="F15" s="7">
        <f>15*UMA</f>
        <v>1344.3000000000002</v>
      </c>
      <c r="H15" s="7" t="s">
        <v>523</v>
      </c>
    </row>
    <row r="16" spans="1:8">
      <c r="B16" s="5" t="s">
        <v>469</v>
      </c>
      <c r="C16" s="5">
        <f>SUM(C11:C15)</f>
        <v>28.096986301369864</v>
      </c>
      <c r="D16" s="5">
        <f t="shared" ref="D16:E16" si="0">SUM(D11:D15)</f>
        <v>1600</v>
      </c>
      <c r="E16" s="5">
        <f t="shared" si="0"/>
        <v>11238.794520547946</v>
      </c>
      <c r="H16" s="11" t="s">
        <v>524</v>
      </c>
    </row>
    <row r="17" spans="2:8">
      <c r="B17" s="5" t="s">
        <v>537</v>
      </c>
      <c r="C17" s="135"/>
      <c r="D17" s="135"/>
      <c r="E17" s="5">
        <f>+C41</f>
        <v>1119.2225616106712</v>
      </c>
      <c r="H17" s="11"/>
    </row>
    <row r="18" spans="2:8">
      <c r="B18" s="176" t="s">
        <v>538</v>
      </c>
      <c r="C18" s="178"/>
      <c r="D18" s="178"/>
      <c r="E18" s="176">
        <f>+E16-E17</f>
        <v>10119.571958937275</v>
      </c>
      <c r="H18" s="11"/>
    </row>
    <row r="19" spans="2:8">
      <c r="H19" s="11" t="s">
        <v>525</v>
      </c>
    </row>
    <row r="20" spans="2:8">
      <c r="H20" s="11" t="s">
        <v>526</v>
      </c>
    </row>
    <row r="21" spans="2:8">
      <c r="C21" s="120" t="s">
        <v>168</v>
      </c>
      <c r="D21" s="120" t="s">
        <v>256</v>
      </c>
      <c r="H21" s="11" t="s">
        <v>527</v>
      </c>
    </row>
    <row r="22" spans="2:8">
      <c r="B22" s="7" t="s">
        <v>470</v>
      </c>
      <c r="C22" s="7">
        <f>+E4*30</f>
        <v>12000</v>
      </c>
      <c r="D22" s="7">
        <f>+C22/2</f>
        <v>6000</v>
      </c>
      <c r="H22" s="7" t="s">
        <v>528</v>
      </c>
    </row>
    <row r="23" spans="2:8">
      <c r="B23" s="7" t="s">
        <v>239</v>
      </c>
      <c r="C23" s="7">
        <f>VLOOKUP(C22,ISRM,1,1)</f>
        <v>11176.63</v>
      </c>
      <c r="H23" s="7" t="s">
        <v>529</v>
      </c>
    </row>
    <row r="24" spans="2:8">
      <c r="B24" s="7" t="s">
        <v>471</v>
      </c>
      <c r="C24" s="7">
        <f>+C22-C23</f>
        <v>823.3700000000008</v>
      </c>
      <c r="H24" s="7" t="s">
        <v>530</v>
      </c>
    </row>
    <row r="25" spans="2:8">
      <c r="B25" s="7" t="s">
        <v>241</v>
      </c>
      <c r="C25" s="53">
        <f>VLOOKUP(C22,ISRM,4,1)</f>
        <v>0.17920000000000003</v>
      </c>
    </row>
    <row r="26" spans="2:8">
      <c r="B26" s="7" t="s">
        <v>472</v>
      </c>
      <c r="C26" s="7">
        <f>+C25*C24</f>
        <v>147.54790400000016</v>
      </c>
    </row>
    <row r="27" spans="2:8">
      <c r="B27" s="7" t="s">
        <v>209</v>
      </c>
      <c r="C27" s="7">
        <f>VLOOKUP(C22,ISRM,3,1)</f>
        <v>1022.01</v>
      </c>
    </row>
    <row r="28" spans="2:8">
      <c r="B28" s="7" t="s">
        <v>473</v>
      </c>
      <c r="C28" s="7">
        <f>+C27+C26</f>
        <v>1169.5579040000002</v>
      </c>
      <c r="D28" s="66">
        <f>+C28/2</f>
        <v>584.77895200000012</v>
      </c>
    </row>
    <row r="30" spans="2:8">
      <c r="B30" s="7" t="s">
        <v>474</v>
      </c>
      <c r="C30" s="7">
        <f>+D15*15</f>
        <v>6000</v>
      </c>
    </row>
    <row r="31" spans="2:8">
      <c r="B31" s="7" t="s">
        <v>276</v>
      </c>
      <c r="C31" s="7">
        <f>+E16</f>
        <v>11238.794520547946</v>
      </c>
    </row>
    <row r="32" spans="2:8">
      <c r="B32" s="7" t="s">
        <v>475</v>
      </c>
      <c r="C32" s="7">
        <f>IF(E12&gt;30*UMA,30*UMA,E12)+IF(E15&gt;15*UMA,15*UMA,E15)</f>
        <v>2484.0260273972603</v>
      </c>
      <c r="D32" s="7" t="s">
        <v>534</v>
      </c>
      <c r="E32" s="7">
        <f>IF(G12&gt;30*UMA,30*UMA,G12)+IF(G15&gt;15*UMA,15*UMA,G15)</f>
        <v>0</v>
      </c>
    </row>
    <row r="33" spans="2:5">
      <c r="B33" s="175" t="s">
        <v>476</v>
      </c>
      <c r="C33" s="175">
        <f>+C30+C31-C32</f>
        <v>14754.768493150688</v>
      </c>
      <c r="D33" s="175" t="s">
        <v>535</v>
      </c>
      <c r="E33" s="175">
        <f>+C30</f>
        <v>6000</v>
      </c>
    </row>
    <row r="34" spans="2:5">
      <c r="B34" s="7" t="s">
        <v>239</v>
      </c>
      <c r="C34" s="7">
        <f>VLOOKUP(C33,ISRM,1,1)</f>
        <v>13381.48</v>
      </c>
      <c r="D34" s="7" t="s">
        <v>239</v>
      </c>
      <c r="E34" s="7">
        <f>VLOOKUP(E33,ISRQ,1,1)</f>
        <v>5514.7845394736842</v>
      </c>
    </row>
    <row r="35" spans="2:5">
      <c r="B35" s="7" t="s">
        <v>471</v>
      </c>
      <c r="C35" s="7">
        <f>+C33-C34</f>
        <v>1373.2884931506887</v>
      </c>
      <c r="D35" s="7" t="s">
        <v>471</v>
      </c>
      <c r="E35" s="7">
        <f>+E33-E34</f>
        <v>485.21546052631584</v>
      </c>
    </row>
    <row r="36" spans="2:5">
      <c r="B36" s="7" t="s">
        <v>241</v>
      </c>
      <c r="C36" s="53">
        <f>VLOOKUP(C33,ISRM,4,1)</f>
        <v>0.21359999999999998</v>
      </c>
      <c r="D36" s="7" t="s">
        <v>241</v>
      </c>
      <c r="E36" s="53">
        <f>VLOOKUP(E33,ISRQ,4,1)</f>
        <v>0.17920000000000003</v>
      </c>
    </row>
    <row r="37" spans="2:5">
      <c r="B37" s="7" t="s">
        <v>472</v>
      </c>
      <c r="C37" s="7">
        <f>+C36*C35</f>
        <v>293.33442213698709</v>
      </c>
      <c r="D37" s="7" t="s">
        <v>472</v>
      </c>
      <c r="E37" s="7">
        <f>+E36*E35</f>
        <v>86.950610526315813</v>
      </c>
    </row>
    <row r="38" spans="2:5">
      <c r="B38" s="7" t="s">
        <v>209</v>
      </c>
      <c r="C38" s="7">
        <f>VLOOKUP(C33,ISRM,3,1)</f>
        <v>1417.12</v>
      </c>
      <c r="D38" s="7" t="s">
        <v>209</v>
      </c>
      <c r="E38" s="7">
        <f>VLOOKUP(E33,ISRQ,3,1)</f>
        <v>504.28125</v>
      </c>
    </row>
    <row r="39" spans="2:5">
      <c r="B39" s="66" t="s">
        <v>473</v>
      </c>
      <c r="C39" s="66">
        <f>+C38+C37</f>
        <v>1710.454422136987</v>
      </c>
      <c r="D39" s="66" t="s">
        <v>536</v>
      </c>
      <c r="E39" s="66">
        <f>+E38+E37</f>
        <v>591.23186052631581</v>
      </c>
    </row>
    <row r="40" spans="2:5">
      <c r="B40" s="7" t="s">
        <v>477</v>
      </c>
      <c r="C40" s="7">
        <f>+E39</f>
        <v>591.23186052631581</v>
      </c>
    </row>
    <row r="41" spans="2:5">
      <c r="B41" s="177" t="s">
        <v>478</v>
      </c>
      <c r="C41" s="177">
        <f>+C39-C40</f>
        <v>1119.2225616106712</v>
      </c>
    </row>
  </sheetData>
  <mergeCells count="2">
    <mergeCell ref="B2:E2"/>
    <mergeCell ref="B9:E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C765E-382B-4140-B8CF-6FD89D8B4233}">
  <dimension ref="B2:J74"/>
  <sheetViews>
    <sheetView topLeftCell="A36" workbookViewId="0">
      <selection activeCell="B46" sqref="B46"/>
    </sheetView>
  </sheetViews>
  <sheetFormatPr baseColWidth="10" defaultColWidth="11.54296875" defaultRowHeight="14.5"/>
  <cols>
    <col min="1" max="1" width="11.54296875" style="7"/>
    <col min="2" max="2" width="28.90625" style="7" customWidth="1"/>
    <col min="3" max="3" width="22" style="7" customWidth="1"/>
    <col min="4" max="4" width="19.6328125" style="7" customWidth="1"/>
    <col min="5" max="8" width="11.54296875" style="7"/>
    <col min="9" max="9" width="20.1796875" style="7" bestFit="1" customWidth="1"/>
    <col min="10" max="10" width="14.90625" style="7" bestFit="1" customWidth="1"/>
    <col min="11" max="16384" width="11.54296875" style="7"/>
  </cols>
  <sheetData>
    <row r="2" spans="2:7">
      <c r="B2" s="7" t="s">
        <v>479</v>
      </c>
    </row>
    <row r="3" spans="2:7">
      <c r="B3" s="11" t="s">
        <v>480</v>
      </c>
      <c r="G3" s="7" t="s">
        <v>481</v>
      </c>
    </row>
    <row r="4" spans="2:7">
      <c r="B4" s="11" t="s">
        <v>482</v>
      </c>
      <c r="G4" s="7" t="s">
        <v>483</v>
      </c>
    </row>
    <row r="5" spans="2:7">
      <c r="G5" s="7" t="s">
        <v>484</v>
      </c>
    </row>
    <row r="6" spans="2:7">
      <c r="B6" s="11" t="s">
        <v>485</v>
      </c>
    </row>
    <row r="8" spans="2:7">
      <c r="B8" s="7" t="s">
        <v>486</v>
      </c>
      <c r="C8" s="7" t="s">
        <v>487</v>
      </c>
    </row>
    <row r="9" spans="2:7">
      <c r="B9" s="7" t="s">
        <v>488</v>
      </c>
      <c r="C9" s="7" t="s">
        <v>489</v>
      </c>
    </row>
    <row r="10" spans="2:7">
      <c r="B10" s="9" t="s">
        <v>490</v>
      </c>
      <c r="C10" s="9" t="s">
        <v>491</v>
      </c>
      <c r="E10" s="66" t="s">
        <v>492</v>
      </c>
    </row>
    <row r="12" spans="2:7">
      <c r="B12" s="11" t="s">
        <v>493</v>
      </c>
    </row>
    <row r="13" spans="2:7">
      <c r="B13" s="11" t="s">
        <v>494</v>
      </c>
    </row>
    <row r="14" spans="2:7">
      <c r="B14" s="11" t="s">
        <v>495</v>
      </c>
    </row>
    <row r="17" spans="2:4">
      <c r="B17" s="7" t="s">
        <v>496</v>
      </c>
      <c r="C17" s="7">
        <v>400</v>
      </c>
      <c r="D17" s="67">
        <v>1</v>
      </c>
    </row>
    <row r="18" spans="2:4">
      <c r="B18" s="7" t="s">
        <v>120</v>
      </c>
      <c r="C18" s="7">
        <f>+D18*C17</f>
        <v>21.917808219178081</v>
      </c>
      <c r="D18" s="53">
        <v>5.4794520547945202E-2</v>
      </c>
    </row>
    <row r="19" spans="2:4">
      <c r="B19" s="7" t="s">
        <v>233</v>
      </c>
      <c r="C19" s="7">
        <f>+D19*C17</f>
        <v>5.2602739726027359</v>
      </c>
      <c r="D19" s="53">
        <f>0.0328767123287671*[1]FINIQUITO!E6</f>
        <v>1.315068493150684E-2</v>
      </c>
    </row>
    <row r="20" spans="2:4">
      <c r="B20" s="66" t="s">
        <v>497</v>
      </c>
      <c r="C20" s="66">
        <f>SUM(C17:C19)</f>
        <v>427.17808219178085</v>
      </c>
    </row>
    <row r="22" spans="2:4">
      <c r="B22" s="7" t="s">
        <v>121</v>
      </c>
      <c r="C22" s="7">
        <f>+C17*365</f>
        <v>146000</v>
      </c>
    </row>
    <row r="23" spans="2:4">
      <c r="B23" s="7" t="s">
        <v>120</v>
      </c>
      <c r="C23" s="7">
        <f>20*C17</f>
        <v>8000</v>
      </c>
    </row>
    <row r="24" spans="2:4">
      <c r="B24" s="7" t="s">
        <v>233</v>
      </c>
      <c r="C24" s="7">
        <f>+C17*12*40%</f>
        <v>1920</v>
      </c>
    </row>
    <row r="25" spans="2:4">
      <c r="B25" s="7" t="s">
        <v>498</v>
      </c>
      <c r="C25" s="7">
        <f>SUM(C22:C24)</f>
        <v>155920</v>
      </c>
    </row>
    <row r="26" spans="2:4">
      <c r="B26" s="66" t="s">
        <v>497</v>
      </c>
      <c r="C26" s="66">
        <f>+C25/365</f>
        <v>427.17808219178085</v>
      </c>
    </row>
    <row r="28" spans="2:4">
      <c r="B28" s="7" t="s">
        <v>105</v>
      </c>
      <c r="C28" s="54">
        <v>1</v>
      </c>
      <c r="D28" s="113">
        <f>+C28</f>
        <v>1</v>
      </c>
    </row>
    <row r="29" spans="2:4">
      <c r="B29" s="7" t="s">
        <v>120</v>
      </c>
      <c r="C29" s="54">
        <v>5.4794520547945202E-2</v>
      </c>
      <c r="D29" s="113">
        <f t="shared" ref="D29:D30" si="0">+C29</f>
        <v>5.4794520547945202E-2</v>
      </c>
    </row>
    <row r="30" spans="2:4">
      <c r="B30" s="7" t="s">
        <v>233</v>
      </c>
      <c r="C30" s="54">
        <f>12*40%/365</f>
        <v>1.3150684931506852E-2</v>
      </c>
      <c r="D30" s="113">
        <f t="shared" si="0"/>
        <v>1.3150684931506852E-2</v>
      </c>
    </row>
    <row r="31" spans="2:4">
      <c r="B31" s="7" t="s">
        <v>127</v>
      </c>
      <c r="C31" s="54">
        <f>SUM(C28:C30)</f>
        <v>1.067945205479452</v>
      </c>
      <c r="D31" s="114">
        <f>SUM(D28:D30)</f>
        <v>1.067945205479452</v>
      </c>
    </row>
    <row r="33" spans="2:7">
      <c r="B33" s="7" t="str">
        <f>+B28</f>
        <v>Salario</v>
      </c>
      <c r="C33" s="7">
        <v>400</v>
      </c>
    </row>
    <row r="34" spans="2:7">
      <c r="B34" s="7" t="str">
        <f>+B31</f>
        <v>Factor de integración</v>
      </c>
      <c r="C34" s="54">
        <f>+C31</f>
        <v>1.067945205479452</v>
      </c>
    </row>
    <row r="35" spans="2:7">
      <c r="B35" s="66" t="s">
        <v>497</v>
      </c>
      <c r="C35" s="66">
        <f>+C34*C33</f>
        <v>427.17808219178085</v>
      </c>
    </row>
    <row r="37" spans="2:7">
      <c r="B37" s="139" t="s">
        <v>499</v>
      </c>
      <c r="C37" s="139"/>
      <c r="D37" s="139"/>
      <c r="E37" s="139"/>
    </row>
    <row r="38" spans="2:7">
      <c r="B38" s="5" t="s">
        <v>457</v>
      </c>
      <c r="C38" s="5" t="s">
        <v>458</v>
      </c>
      <c r="D38" s="5" t="s">
        <v>459</v>
      </c>
      <c r="E38" s="5">
        <v>20</v>
      </c>
    </row>
    <row r="39" spans="2:7">
      <c r="B39" s="5" t="s">
        <v>111</v>
      </c>
      <c r="C39" s="133">
        <v>42806</v>
      </c>
      <c r="D39" s="5" t="s">
        <v>36</v>
      </c>
      <c r="E39" s="5">
        <v>400</v>
      </c>
    </row>
    <row r="40" spans="2:7">
      <c r="B40" s="5" t="s">
        <v>460</v>
      </c>
      <c r="C40" s="133">
        <f ca="1">TODAY()</f>
        <v>44239</v>
      </c>
      <c r="D40" s="5" t="s">
        <v>461</v>
      </c>
      <c r="E40" s="5">
        <f>+C35</f>
        <v>427.17808219178085</v>
      </c>
    </row>
    <row r="41" spans="2:7">
      <c r="B41" s="5" t="s">
        <v>116</v>
      </c>
      <c r="C41" s="5">
        <f ca="1">VLOOKUP((DATEDIF(C39,C40,"y")+DATEDIF(C39,C40,"ym")/12+DATEDIF(C39,C40,"md")/365),Vacaciones,3,1)</f>
        <v>12</v>
      </c>
      <c r="D41" s="5" t="s">
        <v>462</v>
      </c>
      <c r="E41" s="134">
        <v>0.4</v>
      </c>
    </row>
    <row r="42" spans="2:7">
      <c r="B42" s="5" t="s">
        <v>463</v>
      </c>
      <c r="C42" s="133">
        <v>43901</v>
      </c>
      <c r="D42" s="5" t="s">
        <v>115</v>
      </c>
      <c r="E42" s="5">
        <f ca="1">DATEDIF(C39,C40,"y")+DATEDIF(C39,C40,"ym")/12+DATEDIF(C39,C40,"md")/365</f>
        <v>3.9166666666666665</v>
      </c>
      <c r="F42" s="7" t="s">
        <v>500</v>
      </c>
      <c r="G42" s="7">
        <f>+SMG</f>
        <v>141.69999999999999</v>
      </c>
    </row>
    <row r="43" spans="2:7">
      <c r="B43" s="5" t="s">
        <v>464</v>
      </c>
      <c r="C43" s="133">
        <v>44227</v>
      </c>
      <c r="D43" s="135"/>
      <c r="E43" s="135"/>
    </row>
    <row r="44" spans="2:7">
      <c r="B44" s="140" t="s">
        <v>465</v>
      </c>
      <c r="C44" s="140"/>
      <c r="D44" s="140"/>
      <c r="E44" s="140"/>
    </row>
    <row r="45" spans="2:7" ht="29">
      <c r="B45" s="57" t="s">
        <v>22</v>
      </c>
      <c r="C45" s="57" t="s">
        <v>3</v>
      </c>
      <c r="D45" s="58" t="s">
        <v>466</v>
      </c>
      <c r="E45" s="57" t="s">
        <v>409</v>
      </c>
    </row>
    <row r="46" spans="2:7">
      <c r="B46" s="5" t="s">
        <v>544</v>
      </c>
      <c r="C46" s="5">
        <v>90</v>
      </c>
      <c r="D46" s="5">
        <f>+C35</f>
        <v>427.17808219178085</v>
      </c>
      <c r="E46" s="5">
        <f>+D46*C46</f>
        <v>38446.027397260274</v>
      </c>
      <c r="F46" s="7" t="s">
        <v>223</v>
      </c>
      <c r="G46" s="7">
        <f>+UMA</f>
        <v>89.62</v>
      </c>
    </row>
    <row r="47" spans="2:7">
      <c r="B47" s="5" t="s">
        <v>267</v>
      </c>
      <c r="C47" s="5">
        <f ca="1">+E42*12</f>
        <v>47</v>
      </c>
      <c r="D47" s="5">
        <f>IF(SM*2&lt;E40,SM*2,E40)</f>
        <v>246.44</v>
      </c>
      <c r="E47" s="5">
        <f ca="1">+D47*C47</f>
        <v>11582.68</v>
      </c>
    </row>
    <row r="48" spans="2:7">
      <c r="B48" s="5" t="s">
        <v>501</v>
      </c>
      <c r="C48" s="5">
        <f ca="1">+E42*20</f>
        <v>78.333333333333329</v>
      </c>
      <c r="D48" s="5">
        <f>+D46</f>
        <v>427.17808219178085</v>
      </c>
      <c r="E48" s="5">
        <f ca="1">+D48*C48</f>
        <v>33462.283105022834</v>
      </c>
    </row>
    <row r="49" spans="2:10">
      <c r="B49" s="183" t="s">
        <v>502</v>
      </c>
      <c r="C49" s="184"/>
      <c r="D49" s="185"/>
      <c r="E49" s="182">
        <f ca="1">SUM(E46:E48)</f>
        <v>83490.990502283108</v>
      </c>
    </row>
    <row r="50" spans="2:10">
      <c r="B50" s="183" t="s">
        <v>508</v>
      </c>
      <c r="C50" s="184"/>
      <c r="D50" s="185"/>
      <c r="E50" s="182">
        <f ca="1">+D61</f>
        <v>4989.5867949223748</v>
      </c>
    </row>
    <row r="51" spans="2:10">
      <c r="B51" s="183" t="s">
        <v>543</v>
      </c>
      <c r="C51" s="184"/>
      <c r="D51" s="185"/>
      <c r="E51" s="182">
        <f ca="1">+E49-E50</f>
        <v>78501.403707360732</v>
      </c>
    </row>
    <row r="52" spans="2:10">
      <c r="B52" s="181"/>
      <c r="C52" s="181"/>
      <c r="D52" s="181"/>
      <c r="E52" s="19"/>
    </row>
    <row r="54" spans="2:10">
      <c r="B54" s="7" t="s">
        <v>503</v>
      </c>
      <c r="C54" s="63" t="s">
        <v>504</v>
      </c>
      <c r="H54" s="7" t="s">
        <v>373</v>
      </c>
      <c r="I54" s="7" t="s">
        <v>540</v>
      </c>
    </row>
    <row r="55" spans="2:10">
      <c r="F55" s="7" t="s">
        <v>539</v>
      </c>
    </row>
    <row r="56" spans="2:10">
      <c r="B56" s="66" t="s">
        <v>505</v>
      </c>
      <c r="H56" s="7" t="s">
        <v>269</v>
      </c>
      <c r="I56" s="7" t="s">
        <v>348</v>
      </c>
      <c r="J56" s="7" t="s">
        <v>541</v>
      </c>
    </row>
    <row r="57" spans="2:10" ht="29">
      <c r="B57" s="7" t="s">
        <v>506</v>
      </c>
      <c r="D57" s="7">
        <f ca="1">+E49</f>
        <v>83490.990502283108</v>
      </c>
      <c r="I57" s="172" t="s">
        <v>349</v>
      </c>
      <c r="J57" s="179" t="s">
        <v>351</v>
      </c>
    </row>
    <row r="58" spans="2:10">
      <c r="B58" s="7" t="s">
        <v>300</v>
      </c>
      <c r="C58" s="7" t="s">
        <v>507</v>
      </c>
      <c r="D58" s="7">
        <f ca="1">ROUND(E42,0)*90*UMA</f>
        <v>32263.200000000001</v>
      </c>
    </row>
    <row r="59" spans="2:10">
      <c r="B59" s="66" t="s">
        <v>290</v>
      </c>
      <c r="C59" s="66"/>
      <c r="D59" s="66">
        <f ca="1">+D57-D58</f>
        <v>51227.790502283111</v>
      </c>
    </row>
    <row r="60" spans="2:10">
      <c r="B60" s="7" t="str">
        <f>+B73</f>
        <v>Tasa vinculada =</v>
      </c>
      <c r="D60" s="53">
        <f>+F73</f>
        <v>9.74E-2</v>
      </c>
    </row>
    <row r="61" spans="2:10">
      <c r="B61" s="66" t="s">
        <v>508</v>
      </c>
      <c r="C61" s="66"/>
      <c r="D61" s="66">
        <f ca="1">+D60*D59</f>
        <v>4989.5867949223748</v>
      </c>
    </row>
    <row r="64" spans="2:10">
      <c r="B64" s="7" t="s">
        <v>509</v>
      </c>
    </row>
    <row r="65" spans="2:6">
      <c r="B65" s="66" t="s">
        <v>510</v>
      </c>
      <c r="C65" s="66">
        <v>12000</v>
      </c>
      <c r="D65" s="7" t="s">
        <v>542</v>
      </c>
    </row>
    <row r="66" spans="2:6">
      <c r="B66" s="7" t="s">
        <v>239</v>
      </c>
      <c r="C66" s="7">
        <f>VLOOKUP(C65,ISRM,1,1)</f>
        <v>11176.63</v>
      </c>
    </row>
    <row r="67" spans="2:6">
      <c r="B67" s="7" t="s">
        <v>471</v>
      </c>
      <c r="C67" s="7">
        <f>+C65-C66</f>
        <v>823.3700000000008</v>
      </c>
    </row>
    <row r="68" spans="2:6">
      <c r="B68" s="7" t="s">
        <v>241</v>
      </c>
      <c r="C68" s="53">
        <f>VLOOKUP(C65,ISRM,4,1)</f>
        <v>0.17920000000000003</v>
      </c>
    </row>
    <row r="69" spans="2:6">
      <c r="B69" s="7" t="s">
        <v>472</v>
      </c>
      <c r="C69" s="7">
        <f>+C68*C67</f>
        <v>147.54790400000016</v>
      </c>
    </row>
    <row r="70" spans="2:6">
      <c r="B70" s="7" t="s">
        <v>209</v>
      </c>
      <c r="C70" s="7">
        <f>VLOOKUP(C65,ISRM,3,1)</f>
        <v>1022.01</v>
      </c>
    </row>
    <row r="71" spans="2:6">
      <c r="B71" s="66" t="s">
        <v>473</v>
      </c>
      <c r="C71" s="66">
        <f>+C70+C69</f>
        <v>1169.5579040000002</v>
      </c>
    </row>
    <row r="73" spans="2:6" ht="16">
      <c r="B73" s="141" t="s">
        <v>511</v>
      </c>
      <c r="C73" s="180" t="s">
        <v>512</v>
      </c>
      <c r="D73" s="112">
        <f>+C71</f>
        <v>1169.5579040000002</v>
      </c>
      <c r="E73" s="7" t="s">
        <v>293</v>
      </c>
      <c r="F73" s="53">
        <f>TRUNC(+D73/D74,4)</f>
        <v>9.74E-2</v>
      </c>
    </row>
    <row r="74" spans="2:6">
      <c r="B74" s="141"/>
      <c r="C74" s="120" t="s">
        <v>292</v>
      </c>
      <c r="D74" s="7">
        <f>+C65</f>
        <v>12000</v>
      </c>
    </row>
  </sheetData>
  <mergeCells count="3">
    <mergeCell ref="B37:E37"/>
    <mergeCell ref="B44:E44"/>
    <mergeCell ref="B73:B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16</vt:i4>
      </vt:variant>
    </vt:vector>
  </HeadingPairs>
  <TitlesOfParts>
    <vt:vector size="36" baseType="lpstr">
      <vt:lpstr>Indicadores</vt:lpstr>
      <vt:lpstr>TE</vt:lpstr>
      <vt:lpstr>Vacaciones</vt:lpstr>
      <vt:lpstr>fondo</vt:lpstr>
      <vt:lpstr>Hoja1</vt:lpstr>
      <vt:lpstr>Tiempo Extra</vt:lpstr>
      <vt:lpstr>Integración salarial</vt:lpstr>
      <vt:lpstr>Finiquitos</vt:lpstr>
      <vt:lpstr>Liquidaciones</vt:lpstr>
      <vt:lpstr>Ejemplos</vt:lpstr>
      <vt:lpstr>IMSS</vt:lpstr>
      <vt:lpstr>TARIFAS</vt:lpstr>
      <vt:lpstr>CASOS</vt:lpstr>
      <vt:lpstr>SUBSIDIO</vt:lpstr>
      <vt:lpstr>CASOS (2)</vt:lpstr>
      <vt:lpstr>Hoja3</vt:lpstr>
      <vt:lpstr>ANUAL</vt:lpstr>
      <vt:lpstr>Hoja6</vt:lpstr>
      <vt:lpstr>´CALCULOS</vt:lpstr>
      <vt:lpstr>Hoja2</vt:lpstr>
      <vt:lpstr>baja</vt:lpstr>
      <vt:lpstr>base</vt:lpstr>
      <vt:lpstr>Celda</vt:lpstr>
      <vt:lpstr>datos</vt:lpstr>
      <vt:lpstr>dias</vt:lpstr>
      <vt:lpstr>ISRA</vt:lpstr>
      <vt:lpstr>ISRM</vt:lpstr>
      <vt:lpstr>ISRQ</vt:lpstr>
      <vt:lpstr>rango</vt:lpstr>
      <vt:lpstr>SDI</vt:lpstr>
      <vt:lpstr>SMG</vt:lpstr>
      <vt:lpstr>SMZN</vt:lpstr>
      <vt:lpstr>SUBSIDIOM</vt:lpstr>
      <vt:lpstr>SUBSIDIOQ</vt:lpstr>
      <vt:lpstr>UMA</vt:lpstr>
      <vt:lpstr>Vacaciones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Jaime Flores</dc:creator>
  <cp:lastModifiedBy>Dr. Jaime Flores</cp:lastModifiedBy>
  <dcterms:created xsi:type="dcterms:W3CDTF">2020-09-04T14:36:56Z</dcterms:created>
  <dcterms:modified xsi:type="dcterms:W3CDTF">2021-02-12T20:01:59Z</dcterms:modified>
</cp:coreProperties>
</file>